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66925"/>
  <mc:AlternateContent xmlns:mc="http://schemas.openxmlformats.org/markup-compatibility/2006">
    <mc:Choice Requires="x15">
      <x15ac:absPath xmlns:x15ac="http://schemas.microsoft.com/office/spreadsheetml/2010/11/ac" url="\\tekko-nas\disk1\D設備支援課\a.★延払貸与\g.HP関係（簡易シミュレーション、申込書等）\"/>
    </mc:Choice>
  </mc:AlternateContent>
  <xr:revisionPtr revIDLastSave="0" documentId="13_ncr:1_{F811418B-2F9D-4D9B-B9CF-9EC2639DB304}" xr6:coauthVersionLast="47" xr6:coauthVersionMax="47" xr10:uidLastSave="{00000000-0000-0000-0000-000000000000}"/>
  <workbookProtection workbookAlgorithmName="SHA-512" workbookHashValue="L+LDV0WQkWRvagzeuPZltVQXtac1vwAD015bYMZMddMffnPaDAHsWEaf3H3c8C/cG+H0ZkdRMWtp3ZmaBIWCoA==" workbookSaltValue="03fF2CJBuWwyt8tGbkYnsw==" workbookSpinCount="100000" lockStructure="1"/>
  <bookViews>
    <workbookView xWindow="-120" yWindow="-120" windowWidth="20730" windowHeight="11160" xr2:uid="{7601A1FD-9505-483C-BC1D-685CA51BD754}"/>
  </bookViews>
  <sheets>
    <sheet name="シミュレーション" sheetId="1" r:id="rId1"/>
    <sheet name="計算表" sheetId="3" state="hidden" r:id="rId2"/>
    <sheet name="市町データ等" sheetId="2" state="hidden" r:id="rId3"/>
  </sheets>
  <definedNames>
    <definedName name="_xlnm.Print_Area" localSheetId="0">シミュレーション!$A$1:$AR$48</definedName>
  </definedName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7" i="3" s="1"/>
  <c r="I23" i="1" s="1"/>
  <c r="N5" i="3"/>
  <c r="R2" i="3" s="1"/>
  <c r="H54" i="3" s="1"/>
  <c r="G7" i="3" l="1"/>
  <c r="J7" i="3" s="1"/>
  <c r="T25" i="1" s="1"/>
  <c r="G2" i="3"/>
  <c r="F2" i="3" s="1"/>
  <c r="D14" i="3" s="1"/>
  <c r="C8" i="3"/>
  <c r="AI12" i="1"/>
  <c r="AF23" i="1"/>
  <c r="B37" i="1"/>
  <c r="G8" i="3" l="1"/>
  <c r="D15" i="3"/>
  <c r="J8" i="3"/>
  <c r="T27" i="1" s="1"/>
  <c r="C9" i="3"/>
  <c r="G9" i="3" s="1"/>
  <c r="I10" i="1"/>
  <c r="I14" i="1" s="1"/>
  <c r="C2" i="3"/>
  <c r="I29" i="1"/>
  <c r="I27" i="1"/>
  <c r="Q19" i="1"/>
  <c r="AN17" i="1"/>
  <c r="N2" i="3" s="1"/>
  <c r="AN14" i="1"/>
  <c r="AD15" i="1"/>
  <c r="AD17" i="1" s="1"/>
  <c r="H53" i="3" l="1"/>
  <c r="H46" i="3"/>
  <c r="H50" i="3"/>
  <c r="H44" i="3"/>
  <c r="H52" i="3"/>
  <c r="H45" i="3"/>
  <c r="H47" i="3"/>
  <c r="H51" i="3"/>
  <c r="H43" i="3"/>
  <c r="H48" i="3"/>
  <c r="H49" i="3"/>
  <c r="P2" i="3"/>
  <c r="AB24" i="1"/>
  <c r="AF24" i="1"/>
  <c r="J9" i="3"/>
  <c r="T29" i="1" s="1"/>
  <c r="C10" i="3"/>
  <c r="G10" i="3" s="1"/>
  <c r="I25" i="1"/>
  <c r="D16" i="3" s="1"/>
  <c r="D17" i="3" s="1"/>
  <c r="D18" i="3" s="1"/>
  <c r="F7" i="3"/>
  <c r="D19" i="3" l="1"/>
  <c r="D20" i="3" s="1"/>
  <c r="J10" i="3"/>
  <c r="T31" i="1" s="1"/>
  <c r="C11" i="3"/>
  <c r="G11" i="3" s="1"/>
  <c r="D21" i="3" l="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J11" i="3"/>
  <c r="T33" i="1" s="1"/>
  <c r="C12" i="3"/>
  <c r="G12" i="3" s="1"/>
  <c r="D56" i="3" l="1"/>
  <c r="H55" i="3"/>
  <c r="J12" i="3"/>
  <c r="T35" i="1" s="1"/>
  <c r="C13" i="3"/>
  <c r="G13" i="3" s="1"/>
  <c r="D57" i="3" l="1"/>
  <c r="H56" i="3"/>
  <c r="J13" i="3"/>
  <c r="C14" i="3"/>
  <c r="G14" i="3" s="1"/>
  <c r="D58" i="3" l="1"/>
  <c r="H57" i="3"/>
  <c r="T37" i="1"/>
  <c r="J14" i="3"/>
  <c r="C15" i="3"/>
  <c r="G15" i="3" s="1"/>
  <c r="D59" i="3" l="1"/>
  <c r="H58" i="3"/>
  <c r="C16" i="3"/>
  <c r="G16" i="3" s="1"/>
  <c r="D60" i="3" l="1"/>
  <c r="H59" i="3"/>
  <c r="C17" i="3"/>
  <c r="G17" i="3" s="1"/>
  <c r="D61" i="3" l="1"/>
  <c r="H60" i="3"/>
  <c r="C18" i="3"/>
  <c r="G18" i="3" s="1"/>
  <c r="D62" i="3" l="1"/>
  <c r="H61" i="3"/>
  <c r="C19" i="3"/>
  <c r="G19" i="3" s="1"/>
  <c r="D63" i="3" l="1"/>
  <c r="H62" i="3"/>
  <c r="C20" i="3"/>
  <c r="G20" i="3" s="1"/>
  <c r="D64" i="3" l="1"/>
  <c r="H63" i="3"/>
  <c r="C21" i="3"/>
  <c r="G21" i="3" s="1"/>
  <c r="D65" i="3" l="1"/>
  <c r="H64" i="3"/>
  <c r="C22" i="3"/>
  <c r="G22" i="3" s="1"/>
  <c r="D66" i="3" l="1"/>
  <c r="H65" i="3"/>
  <c r="C23" i="3"/>
  <c r="G23" i="3" s="1"/>
  <c r="D67" i="3" l="1"/>
  <c r="H66" i="3"/>
  <c r="C24" i="3"/>
  <c r="G24" i="3" s="1"/>
  <c r="D68" i="3" l="1"/>
  <c r="H67" i="3"/>
  <c r="C25" i="3"/>
  <c r="G25" i="3" s="1"/>
  <c r="D69" i="3" l="1"/>
  <c r="H68" i="3"/>
  <c r="C26" i="3"/>
  <c r="G26" i="3" s="1"/>
  <c r="D70" i="3" l="1"/>
  <c r="H69" i="3"/>
  <c r="C27" i="3"/>
  <c r="G27" i="3" s="1"/>
  <c r="D71" i="3" l="1"/>
  <c r="H70" i="3"/>
  <c r="C28" i="3"/>
  <c r="G28" i="3" s="1"/>
  <c r="D72" i="3" l="1"/>
  <c r="H71" i="3"/>
  <c r="C29" i="3"/>
  <c r="G29" i="3" s="1"/>
  <c r="D73" i="3" l="1"/>
  <c r="H72" i="3"/>
  <c r="C30" i="3"/>
  <c r="G30" i="3" s="1"/>
  <c r="D74" i="3" l="1"/>
  <c r="H73" i="3"/>
  <c r="C31" i="3"/>
  <c r="G31" i="3" s="1"/>
  <c r="D75" i="3" l="1"/>
  <c r="H74" i="3"/>
  <c r="C32" i="3"/>
  <c r="G32" i="3" s="1"/>
  <c r="D76" i="3" l="1"/>
  <c r="H75" i="3"/>
  <c r="C33" i="3"/>
  <c r="G33" i="3" s="1"/>
  <c r="D77" i="3" l="1"/>
  <c r="H76" i="3"/>
  <c r="C34" i="3"/>
  <c r="G34" i="3" s="1"/>
  <c r="D78" i="3" l="1"/>
  <c r="H77" i="3"/>
  <c r="C35" i="3"/>
  <c r="G35" i="3" s="1"/>
  <c r="D79" i="3" l="1"/>
  <c r="H78" i="3"/>
  <c r="C36" i="3"/>
  <c r="G36" i="3" s="1"/>
  <c r="D80" i="3" l="1"/>
  <c r="H79" i="3"/>
  <c r="C37" i="3"/>
  <c r="G37" i="3" s="1"/>
  <c r="D81" i="3" l="1"/>
  <c r="H80" i="3"/>
  <c r="C38" i="3"/>
  <c r="G38" i="3" s="1"/>
  <c r="D82" i="3" l="1"/>
  <c r="H81" i="3"/>
  <c r="C39" i="3"/>
  <c r="G39" i="3" s="1"/>
  <c r="D83" i="3" l="1"/>
  <c r="H82" i="3"/>
  <c r="C40" i="3"/>
  <c r="G40" i="3" s="1"/>
  <c r="D84" i="3" l="1"/>
  <c r="H83" i="3"/>
  <c r="C41" i="3"/>
  <c r="G41" i="3" s="1"/>
  <c r="D85" i="3" l="1"/>
  <c r="H85" i="3" s="1"/>
  <c r="H84" i="3"/>
  <c r="C42" i="3"/>
  <c r="G42" i="3" s="1"/>
  <c r="C43" i="3" l="1"/>
  <c r="G43" i="3" s="1"/>
  <c r="C44" i="3" l="1"/>
  <c r="G44" i="3" s="1"/>
  <c r="C45" i="3" l="1"/>
  <c r="G45" i="3" s="1"/>
  <c r="C46" i="3" l="1"/>
  <c r="G46" i="3" s="1"/>
  <c r="C47" i="3" l="1"/>
  <c r="G47" i="3" s="1"/>
  <c r="C48" i="3" l="1"/>
  <c r="G48" i="3" s="1"/>
  <c r="C49" i="3" l="1"/>
  <c r="G49" i="3" s="1"/>
  <c r="C50" i="3" l="1"/>
  <c r="G50" i="3" s="1"/>
  <c r="C51" i="3" l="1"/>
  <c r="G51" i="3" s="1"/>
  <c r="C52" i="3" l="1"/>
  <c r="G52" i="3" s="1"/>
  <c r="C53" i="3" l="1"/>
  <c r="G53" i="3" s="1"/>
  <c r="C54" i="3" l="1"/>
  <c r="G54" i="3" s="1"/>
  <c r="C55" i="3" l="1"/>
  <c r="G55" i="3" s="1"/>
  <c r="C56" i="3" l="1"/>
  <c r="G56" i="3" s="1"/>
  <c r="C57" i="3" l="1"/>
  <c r="G57" i="3" s="1"/>
  <c r="C58" i="3" l="1"/>
  <c r="G58" i="3" s="1"/>
  <c r="C59" i="3" l="1"/>
  <c r="G59" i="3" s="1"/>
  <c r="C60" i="3" l="1"/>
  <c r="G60" i="3" s="1"/>
  <c r="C61" i="3" l="1"/>
  <c r="G61" i="3" s="1"/>
  <c r="C62" i="3" l="1"/>
  <c r="G62" i="3" s="1"/>
  <c r="C63" i="3" l="1"/>
  <c r="G63" i="3" s="1"/>
  <c r="C64" i="3" l="1"/>
  <c r="G64" i="3" s="1"/>
  <c r="C65" i="3" l="1"/>
  <c r="G65" i="3" s="1"/>
  <c r="C66" i="3" l="1"/>
  <c r="G66" i="3" s="1"/>
  <c r="C67" i="3" l="1"/>
  <c r="G67" i="3" s="1"/>
  <c r="C68" i="3" l="1"/>
  <c r="G68" i="3" s="1"/>
  <c r="C69" i="3" l="1"/>
  <c r="G69" i="3" s="1"/>
  <c r="C70" i="3" l="1"/>
  <c r="G70" i="3" s="1"/>
  <c r="C71" i="3" l="1"/>
  <c r="G71" i="3" s="1"/>
  <c r="C72" i="3" l="1"/>
  <c r="G72" i="3" s="1"/>
  <c r="C73" i="3" l="1"/>
  <c r="G73" i="3" s="1"/>
  <c r="C74" i="3" l="1"/>
  <c r="G74" i="3" s="1"/>
  <c r="C75" i="3" l="1"/>
  <c r="G75" i="3" s="1"/>
  <c r="C76" i="3" l="1"/>
  <c r="G76" i="3" s="1"/>
  <c r="C77" i="3" l="1"/>
  <c r="G77" i="3" s="1"/>
  <c r="C78" i="3" l="1"/>
  <c r="G78" i="3" s="1"/>
  <c r="C79" i="3" l="1"/>
  <c r="G79" i="3" s="1"/>
  <c r="C80" i="3" l="1"/>
  <c r="G80" i="3" s="1"/>
  <c r="C81" i="3" l="1"/>
  <c r="G81" i="3" s="1"/>
  <c r="C82" i="3" l="1"/>
  <c r="G82" i="3" s="1"/>
  <c r="C83" i="3" l="1"/>
  <c r="G83" i="3" s="1"/>
  <c r="C84" i="3" l="1"/>
  <c r="G84" i="3" s="1"/>
  <c r="C85" i="3" l="1"/>
  <c r="G85" i="3" s="1"/>
  <c r="C86" i="3" l="1"/>
  <c r="G86" i="3" s="1"/>
  <c r="C87" i="3" l="1"/>
  <c r="G87" i="3" s="1"/>
  <c r="C88" i="3" l="1"/>
  <c r="G88" i="3" s="1"/>
  <c r="C89" i="3" l="1"/>
  <c r="G89" i="3" s="1"/>
  <c r="F8" i="3" l="1"/>
  <c r="E7" i="3" s="1"/>
  <c r="F9" i="3" l="1"/>
  <c r="F10" i="3" s="1"/>
  <c r="F11" i="3" s="1"/>
  <c r="E8" i="3" l="1"/>
  <c r="E9" i="3"/>
  <c r="E10" i="3"/>
  <c r="F12" i="3"/>
  <c r="F13" i="3" l="1"/>
  <c r="E11" i="3"/>
  <c r="E12" i="3" l="1"/>
  <c r="F14" i="3"/>
  <c r="F15" i="3" l="1"/>
  <c r="E13" i="3"/>
  <c r="E14" i="3" l="1"/>
  <c r="F16" i="3"/>
  <c r="F17" i="3" l="1"/>
  <c r="E15" i="3"/>
  <c r="E16" i="3" l="1"/>
  <c r="F18" i="3"/>
  <c r="M7" i="3" l="1"/>
  <c r="E17" i="3"/>
  <c r="F19" i="3"/>
  <c r="O7" i="3" l="1"/>
  <c r="N7" i="3"/>
  <c r="E18" i="3"/>
  <c r="F20" i="3"/>
  <c r="AF25" i="1" l="1"/>
  <c r="E19" i="3"/>
  <c r="F21" i="3"/>
  <c r="E20" i="3" l="1"/>
  <c r="F22" i="3"/>
  <c r="E21" i="3" l="1"/>
  <c r="F23" i="3"/>
  <c r="F24" i="3" l="1"/>
  <c r="E22" i="3"/>
  <c r="E23" i="3" l="1"/>
  <c r="F25" i="3"/>
  <c r="F26" i="3" l="1"/>
  <c r="E24" i="3"/>
  <c r="E25" i="3" l="1"/>
  <c r="F27" i="3"/>
  <c r="E26" i="3" l="1"/>
  <c r="F28" i="3"/>
  <c r="E27" i="3" l="1"/>
  <c r="F29" i="3"/>
  <c r="E28" i="3" l="1"/>
  <c r="F30" i="3"/>
  <c r="E29" i="3" l="1"/>
  <c r="F31" i="3"/>
  <c r="F32" i="3" l="1"/>
  <c r="E30" i="3"/>
  <c r="E31" i="3" l="1"/>
  <c r="F33" i="3"/>
  <c r="F34" i="3" l="1"/>
  <c r="E32" i="3"/>
  <c r="F35" i="3" l="1"/>
  <c r="E33" i="3"/>
  <c r="F36" i="3" l="1"/>
  <c r="E34" i="3"/>
  <c r="E35" i="3" l="1"/>
  <c r="F37" i="3"/>
  <c r="F38" i="3" l="1"/>
  <c r="E36" i="3"/>
  <c r="E37" i="3" l="1"/>
  <c r="F39" i="3"/>
  <c r="F40" i="3" l="1"/>
  <c r="E38" i="3"/>
  <c r="E39" i="3" l="1"/>
  <c r="F41" i="3"/>
  <c r="E40" i="3" l="1"/>
  <c r="F42" i="3"/>
  <c r="F43" i="3" l="1"/>
  <c r="E41" i="3"/>
  <c r="E42" i="3" l="1"/>
  <c r="F44" i="3"/>
  <c r="E43" i="3" l="1"/>
  <c r="F45" i="3"/>
  <c r="E44" i="3" l="1"/>
  <c r="F46" i="3"/>
  <c r="E45" i="3" l="1"/>
  <c r="F47" i="3"/>
  <c r="E46" i="3" l="1"/>
  <c r="F48" i="3"/>
  <c r="F49" i="3" l="1"/>
  <c r="E47" i="3"/>
  <c r="E48" i="3" l="1"/>
  <c r="F50" i="3"/>
  <c r="F51" i="3" l="1"/>
  <c r="E49" i="3"/>
  <c r="E50" i="3" l="1"/>
  <c r="F52" i="3"/>
  <c r="E51" i="3" l="1"/>
  <c r="F53" i="3"/>
  <c r="F54" i="3" l="1"/>
  <c r="E52" i="3"/>
  <c r="E53" i="3" l="1"/>
  <c r="F55" i="3"/>
  <c r="F56" i="3" l="1"/>
  <c r="E54" i="3"/>
  <c r="F57" i="3" l="1"/>
  <c r="E55" i="3"/>
  <c r="F58" i="3" l="1"/>
  <c r="E56" i="3"/>
  <c r="F59" i="3" l="1"/>
  <c r="E57" i="3"/>
  <c r="F60" i="3" l="1"/>
  <c r="E58" i="3"/>
  <c r="F61" i="3" l="1"/>
  <c r="E59" i="3"/>
  <c r="E60" i="3" l="1"/>
  <c r="F62" i="3"/>
  <c r="F63" i="3" l="1"/>
  <c r="E61" i="3"/>
  <c r="E62" i="3" l="1"/>
  <c r="F64" i="3"/>
  <c r="F65" i="3" l="1"/>
  <c r="E63" i="3"/>
  <c r="F66" i="3" l="1"/>
  <c r="E64" i="3"/>
  <c r="E65" i="3" l="1"/>
  <c r="F67" i="3"/>
  <c r="E66" i="3" l="1"/>
  <c r="F68" i="3"/>
  <c r="E67" i="3" l="1"/>
  <c r="F69" i="3"/>
  <c r="E68" i="3" l="1"/>
  <c r="F70" i="3"/>
  <c r="E69" i="3" l="1"/>
  <c r="F71" i="3"/>
  <c r="E70" i="3" l="1"/>
  <c r="F72" i="3"/>
  <c r="E71" i="3" l="1"/>
  <c r="F73" i="3"/>
  <c r="E72" i="3" l="1"/>
  <c r="F74" i="3"/>
  <c r="E73" i="3" l="1"/>
  <c r="F75" i="3"/>
  <c r="F76" i="3" l="1"/>
  <c r="E74" i="3"/>
  <c r="E75" i="3" l="1"/>
  <c r="F77" i="3"/>
  <c r="E76" i="3" l="1"/>
  <c r="F78" i="3"/>
  <c r="E77" i="3" l="1"/>
  <c r="F79" i="3"/>
  <c r="F80" i="3" l="1"/>
  <c r="E78" i="3"/>
  <c r="E79" i="3" l="1"/>
  <c r="F81" i="3"/>
  <c r="F82" i="3" l="1"/>
  <c r="E80" i="3"/>
  <c r="E81" i="3" l="1"/>
  <c r="F83" i="3"/>
  <c r="F84" i="3" l="1"/>
  <c r="E82" i="3"/>
  <c r="F85" i="3" l="1"/>
  <c r="D86" i="3" s="1"/>
  <c r="E83" i="3"/>
  <c r="F86" i="3" l="1"/>
  <c r="D87" i="3" s="1"/>
  <c r="H86" i="3"/>
  <c r="E84" i="3"/>
  <c r="F87" i="3" l="1"/>
  <c r="D88" i="3" s="1"/>
  <c r="H87" i="3"/>
  <c r="E85" i="3"/>
  <c r="F88" i="3" l="1"/>
  <c r="H88" i="3"/>
  <c r="E86" i="3"/>
  <c r="D89" i="3" l="1"/>
  <c r="H89" i="3" s="1"/>
  <c r="M12" i="3" s="1"/>
  <c r="E87" i="3"/>
  <c r="D90" i="3" l="1"/>
  <c r="F89" i="3"/>
  <c r="K14" i="3" s="1"/>
  <c r="K13" i="3"/>
  <c r="O12" i="3"/>
  <c r="N12" i="3"/>
  <c r="E88" i="3"/>
  <c r="K7" i="3"/>
  <c r="K8" i="3"/>
  <c r="K9" i="3"/>
  <c r="K10" i="3"/>
  <c r="K11" i="3"/>
  <c r="K12" i="3"/>
  <c r="L8" i="3"/>
  <c r="P8" i="3" s="1"/>
  <c r="L9" i="3"/>
  <c r="P9" i="3" s="1"/>
  <c r="L10" i="3"/>
  <c r="P10" i="3" s="1"/>
  <c r="L11" i="3"/>
  <c r="P11" i="3" s="1"/>
  <c r="L12" i="3"/>
  <c r="P12" i="3" s="1"/>
  <c r="L14" i="3" l="1"/>
  <c r="L13" i="3"/>
  <c r="P13" i="3" s="1"/>
  <c r="E89" i="3"/>
  <c r="E90" i="3" s="1"/>
  <c r="L7" i="3" s="1"/>
  <c r="Q12" i="3"/>
  <c r="AB35" i="1" s="1"/>
  <c r="T14" i="3"/>
  <c r="T9" i="3"/>
  <c r="T12" i="3"/>
  <c r="T8" i="3"/>
  <c r="T11" i="3"/>
  <c r="T7" i="3"/>
  <c r="T10" i="3"/>
  <c r="T13" i="3"/>
  <c r="AF35" i="1"/>
  <c r="X29" i="1"/>
  <c r="X33" i="1"/>
  <c r="X27" i="1"/>
  <c r="M14" i="3"/>
  <c r="M11" i="3"/>
  <c r="M13" i="3"/>
  <c r="M8" i="3"/>
  <c r="M9" i="3"/>
  <c r="M10" i="3"/>
  <c r="X35" i="1"/>
  <c r="X31" i="1"/>
  <c r="X37" i="1" l="1"/>
  <c r="P14" i="3"/>
  <c r="T15" i="3"/>
  <c r="R12" i="3"/>
  <c r="S12" i="3" s="1"/>
  <c r="U12" i="3" s="1"/>
  <c r="P7" i="3"/>
  <c r="N9" i="3"/>
  <c r="O9" i="3"/>
  <c r="Q9" i="3" s="1"/>
  <c r="O11" i="3"/>
  <c r="Q11" i="3" s="1"/>
  <c r="N11" i="3"/>
  <c r="O8" i="3"/>
  <c r="Q8" i="3" s="1"/>
  <c r="N8" i="3"/>
  <c r="N14" i="3"/>
  <c r="O14" i="3"/>
  <c r="N13" i="3"/>
  <c r="O13" i="3"/>
  <c r="Q13" i="3" s="1"/>
  <c r="N10" i="3"/>
  <c r="O10" i="3"/>
  <c r="Q10" i="3" s="1"/>
  <c r="X25" i="1"/>
  <c r="M15" i="3"/>
  <c r="AJ35" i="1"/>
  <c r="AN35" i="1" s="1"/>
  <c r="L15" i="3" l="1"/>
  <c r="R17" i="3" s="1"/>
  <c r="X39" i="1"/>
  <c r="T39" i="1" s="1"/>
  <c r="Q14" i="3"/>
  <c r="Q7" i="3"/>
  <c r="AB25" i="1" s="1"/>
  <c r="AJ25" i="1" s="1"/>
  <c r="AN25" i="1" s="1"/>
  <c r="AF37" i="1"/>
  <c r="AB37" i="1"/>
  <c r="AF29" i="1"/>
  <c r="AB29" i="1"/>
  <c r="R8" i="3"/>
  <c r="S8" i="3" s="1"/>
  <c r="U8" i="3" s="1"/>
  <c r="AF27" i="1"/>
  <c r="AF31" i="1"/>
  <c r="AB31" i="1"/>
  <c r="AB33" i="1"/>
  <c r="AF33" i="1"/>
  <c r="O15" i="3"/>
  <c r="I37" i="1" s="1"/>
  <c r="N15" i="3"/>
  <c r="X41" i="1" l="1"/>
  <c r="I31" i="1" s="1"/>
  <c r="AB39" i="1"/>
  <c r="AF39" i="1"/>
  <c r="AF41" i="1" s="1"/>
  <c r="R7" i="3"/>
  <c r="S7" i="3" s="1"/>
  <c r="R10" i="3"/>
  <c r="S10" i="3" s="1"/>
  <c r="U10" i="3" s="1"/>
  <c r="R11" i="3"/>
  <c r="S11" i="3" s="1"/>
  <c r="U11" i="3" s="1"/>
  <c r="R13" i="3"/>
  <c r="S13" i="3" s="1"/>
  <c r="U13" i="3" s="1"/>
  <c r="R14" i="3"/>
  <c r="S14" i="3" s="1"/>
  <c r="R9" i="3"/>
  <c r="S9" i="3" s="1"/>
  <c r="U9" i="3" s="1"/>
  <c r="AB27" i="1"/>
  <c r="AJ27" i="1" s="1"/>
  <c r="AN27" i="1" s="1"/>
  <c r="Q15" i="3"/>
  <c r="AJ31" i="1"/>
  <c r="AN31" i="1" s="1"/>
  <c r="AJ29" i="1"/>
  <c r="AN29" i="1" s="1"/>
  <c r="P15" i="3"/>
  <c r="AJ33" i="1"/>
  <c r="AN33" i="1" s="1"/>
  <c r="AJ37" i="1"/>
  <c r="AN37" i="1" s="1"/>
  <c r="AJ39" i="1" l="1"/>
  <c r="AN39" i="1" s="1"/>
  <c r="U7" i="3"/>
  <c r="S15" i="3"/>
  <c r="U14" i="3"/>
  <c r="R18" i="3"/>
  <c r="R19" i="3" s="1"/>
  <c r="I35" i="1"/>
  <c r="I39" i="1" s="1"/>
  <c r="R15" i="3"/>
  <c r="AB41" i="1"/>
  <c r="AJ41" i="1" s="1"/>
  <c r="AN41" i="1" s="1"/>
  <c r="L42" i="1" s="1"/>
  <c r="U15" i="3" l="1"/>
  <c r="L46" i="1" s="1"/>
  <c r="B48" i="1" s="1"/>
  <c r="L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otomo</author>
  </authors>
  <commentList>
    <comment ref="S8" authorId="0" shapeId="0" xr:uid="{602B298D-E13E-47DF-9FA6-E899335FBBE6}">
      <text>
        <r>
          <rPr>
            <b/>
            <i/>
            <sz val="11"/>
            <color indexed="81"/>
            <rFont val="HG丸ｺﾞｼｯｸM-PRO"/>
            <family val="3"/>
            <charset val="128"/>
          </rPr>
          <t>【『常時使用する従業員』の定義】</t>
        </r>
        <r>
          <rPr>
            <sz val="11"/>
            <color indexed="81"/>
            <rFont val="HG丸ｺﾞｼｯｸM-PRO"/>
            <family val="3"/>
            <charset val="128"/>
          </rPr>
          <t xml:space="preserve">
　労働基準法第20条の規定に基づく「</t>
        </r>
        <r>
          <rPr>
            <u/>
            <sz val="11"/>
            <color indexed="10"/>
            <rFont val="HG丸ｺﾞｼｯｸM-PRO"/>
            <family val="3"/>
            <charset val="128"/>
          </rPr>
          <t>あらかじめ解雇の予告を必要とする者</t>
        </r>
        <r>
          <rPr>
            <sz val="11"/>
            <color indexed="81"/>
            <rFont val="HG丸ｺﾞｼｯｸM-PRO"/>
            <family val="3"/>
            <charset val="128"/>
          </rPr>
          <t>」が『常時使用する従業員』に該当する。
　よって、就業形態（正社員、パート、アルバイト、契約社員 等）で一律に判断するのではなく、あらかじめ解雇予告が必要となる者かどうかで個別に判断する。
※労働基準法第21条に規定される下記の労働者は</t>
        </r>
        <r>
          <rPr>
            <u/>
            <sz val="11"/>
            <color indexed="81"/>
            <rFont val="HG丸ｺﾞｼｯｸM-PRO"/>
            <family val="3"/>
            <charset val="128"/>
          </rPr>
          <t>該当しない</t>
        </r>
        <r>
          <rPr>
            <sz val="11"/>
            <color indexed="81"/>
            <rFont val="HG丸ｺﾞｼｯｸM-PRO"/>
            <family val="3"/>
            <charset val="128"/>
          </rPr>
          <t xml:space="preserve">。
　・日雇い者
　・2か月以内の有期雇用者
　・4か月以内の季節的業務の有期雇用者
　・試用期間中の者
</t>
        </r>
        <r>
          <rPr>
            <b/>
            <sz val="11"/>
            <color indexed="81"/>
            <rFont val="HG丸ｺﾞｼｯｸM-PRO"/>
            <family val="3"/>
            <charset val="128"/>
          </rPr>
          <t>！！注意！！</t>
        </r>
        <r>
          <rPr>
            <sz val="11"/>
            <color indexed="81"/>
            <rFont val="HG丸ｺﾞｼｯｸM-PRO"/>
            <family val="3"/>
            <charset val="128"/>
          </rPr>
          <t xml:space="preserve">
　・会社役員、取締役は「常時使用する従業員」に</t>
        </r>
        <r>
          <rPr>
            <u/>
            <sz val="11"/>
            <color indexed="81"/>
            <rFont val="HG丸ｺﾞｼｯｸM-PRO"/>
            <family val="3"/>
            <charset val="128"/>
          </rPr>
          <t>該当しない</t>
        </r>
        <r>
          <rPr>
            <sz val="11"/>
            <color indexed="81"/>
            <rFont val="HG丸ｺﾞｼｯｸM-PRO"/>
            <family val="3"/>
            <charset val="128"/>
          </rPr>
          <t>。
　・外国人技能実習生は「常時使用する従業員」に</t>
        </r>
        <r>
          <rPr>
            <u/>
            <sz val="11"/>
            <color indexed="81"/>
            <rFont val="HG丸ｺﾞｼｯｸM-PRO"/>
            <family val="3"/>
            <charset val="128"/>
          </rPr>
          <t>該当する</t>
        </r>
        <r>
          <rPr>
            <sz val="11"/>
            <color indexed="81"/>
            <rFont val="HG丸ｺﾞｼｯｸM-PRO"/>
            <family val="3"/>
            <charset val="128"/>
          </rPr>
          <t>。</t>
        </r>
      </text>
    </comment>
    <comment ref="B10" authorId="0" shapeId="0" xr:uid="{C0705A6B-E624-4A8F-8622-4AFB251F5DF9}">
      <text>
        <r>
          <rPr>
            <b/>
            <sz val="14"/>
            <color indexed="81"/>
            <rFont val="UD デジタル 教科書体 NP-R"/>
            <family val="1"/>
            <charset val="128"/>
          </rPr>
          <t>申込金額は6,000万円が上限となるため、
超過する分は前納が必要です。</t>
        </r>
      </text>
    </comment>
    <comment ref="B12" authorId="0" shapeId="0" xr:uid="{93AA14F9-B4F2-49E2-B47D-AAA559F9D414}">
      <text>
        <r>
          <rPr>
            <b/>
            <sz val="16"/>
            <color indexed="81"/>
            <rFont val="UD デジタル 教科書体 NP-R"/>
            <family val="1"/>
            <charset val="128"/>
          </rPr>
          <t>機械設備価格の
0～50％の範囲内</t>
        </r>
      </text>
    </comment>
    <comment ref="I23" authorId="0" shapeId="0" xr:uid="{14B9F13C-5CFA-476D-BD5B-197A65E78DFB}">
      <text>
        <r>
          <rPr>
            <sz val="11"/>
            <color indexed="81"/>
            <rFont val="HG丸ｺﾞｼｯｸM-PRO"/>
            <family val="3"/>
            <charset val="128"/>
          </rPr>
          <t>基本的には、機械の納品が完了した翌月25日を契約日としています。
なお、25日が土日祝日に当たる場合は前営業日が契約日となります。
ここでは、土日祝日は考慮せず、一律25日の契約日としております。</t>
        </r>
      </text>
    </comment>
    <comment ref="AF23" authorId="0" shapeId="0" xr:uid="{0161622E-DE47-444E-AEB5-353C8531FAE1}">
      <text>
        <r>
          <rPr>
            <sz val="11"/>
            <color indexed="81"/>
            <rFont val="HG丸ｺﾞｼｯｸM-PRO"/>
            <family val="3"/>
            <charset val="128"/>
          </rPr>
          <t>各市町には「</t>
        </r>
        <r>
          <rPr>
            <b/>
            <u/>
            <sz val="11"/>
            <color indexed="81"/>
            <rFont val="HG丸ｺﾞｼｯｸM-PRO"/>
            <family val="3"/>
            <charset val="128"/>
          </rPr>
          <t>年間の助成限度額</t>
        </r>
        <r>
          <rPr>
            <sz val="11"/>
            <color indexed="81"/>
            <rFont val="HG丸ｺﾞｼｯｸM-PRO"/>
            <family val="3"/>
            <charset val="128"/>
          </rPr>
          <t>」があります。
助成限度額の上限に達した場合は、
その上限の金額が各年度記載されております。</t>
        </r>
      </text>
    </comment>
    <comment ref="AB25" authorId="0" shapeId="0" xr:uid="{EB5773E7-ED30-44DD-B555-B28CA660C8F1}">
      <text>
        <r>
          <rPr>
            <sz val="11"/>
            <color indexed="81"/>
            <rFont val="HG丸ｺﾞｼｯｸM-PRO"/>
            <family val="3"/>
            <charset val="128"/>
          </rPr>
          <t xml:space="preserve">県の規程の関係上、
初年度目の利子補給については、
</t>
        </r>
        <r>
          <rPr>
            <u/>
            <sz val="11"/>
            <color indexed="81"/>
            <rFont val="HG丸ｺﾞｼｯｸM-PRO"/>
            <family val="3"/>
            <charset val="128"/>
          </rPr>
          <t>２年度目の利子補給と合算されての振込み</t>
        </r>
        <r>
          <rPr>
            <sz val="11"/>
            <color indexed="81"/>
            <rFont val="HG丸ｺﾞｼｯｸM-PRO"/>
            <family val="3"/>
            <charset val="128"/>
          </rPr>
          <t>となります。
（＝２年度目の年度末に２年分まとめて振込み）
３年度目以降は毎年度末に振り込まれます。
※本シミュレーションでは、簡便的に、初年度に県の利子補給が入金されたものとみなして計算しております。</t>
        </r>
      </text>
    </comment>
    <comment ref="B31" authorId="0" shapeId="0" xr:uid="{584CF1F6-193A-4736-8B33-4E1F1FD9185E}">
      <text>
        <r>
          <rPr>
            <sz val="14"/>
            <color indexed="81"/>
            <rFont val="HG丸ｺﾞｼｯｸM-PRO"/>
            <family val="3"/>
            <charset val="128"/>
          </rPr>
          <t>実際に支払う利息</t>
        </r>
      </text>
    </comment>
    <comment ref="B39" authorId="0" shapeId="0" xr:uid="{812CE7A3-13AB-4762-B451-24C55586808A}">
      <text>
        <r>
          <rPr>
            <sz val="14"/>
            <color indexed="81"/>
            <rFont val="HG丸ｺﾞｼｯｸM-PRO"/>
            <family val="3"/>
            <charset val="128"/>
          </rPr>
          <t>後日戻ってくる利息相当分</t>
        </r>
      </text>
    </comment>
    <comment ref="B42" authorId="0" shapeId="0" xr:uid="{FBF092A1-10BD-4B03-93CD-17AF46F36CB2}">
      <text>
        <r>
          <rPr>
            <sz val="14"/>
            <color indexed="81"/>
            <rFont val="HG丸ｺﾞｼｯｸM-PRO"/>
            <family val="3"/>
            <charset val="128"/>
          </rPr>
          <t>「実際に支払う利息」
から
「後日戻ってくる利息相当分」
を引いた</t>
        </r>
        <r>
          <rPr>
            <b/>
            <sz val="14"/>
            <color indexed="81"/>
            <rFont val="HG丸ｺﾞｼｯｸM-PRO"/>
            <family val="3"/>
            <charset val="128"/>
          </rPr>
          <t xml:space="preserve">
「実質的に負担することになる利息の金額」</t>
        </r>
      </text>
    </comment>
  </commentList>
</comments>
</file>

<file path=xl/sharedStrings.xml><?xml version="1.0" encoding="utf-8"?>
<sst xmlns="http://schemas.openxmlformats.org/spreadsheetml/2006/main" count="214" uniqueCount="117">
  <si>
    <t>【延払貸与制度】簡易シミュレーション</t>
    <rPh sb="1" eb="3">
      <t>ノベバラ</t>
    </rPh>
    <rPh sb="3" eb="7">
      <t>タイヨセイド</t>
    </rPh>
    <rPh sb="8" eb="10">
      <t>カンイ</t>
    </rPh>
    <phoneticPr fontId="2"/>
  </si>
  <si>
    <t>市町</t>
    <rPh sb="0" eb="2">
      <t>シチョウ</t>
    </rPh>
    <phoneticPr fontId="2"/>
  </si>
  <si>
    <t>貸与利率</t>
    <rPh sb="0" eb="4">
      <t>タイヨリリツ</t>
    </rPh>
    <phoneticPr fontId="2"/>
  </si>
  <si>
    <t>利子補給率</t>
    <rPh sb="0" eb="5">
      <t>リシホキュウリツ</t>
    </rPh>
    <phoneticPr fontId="2"/>
  </si>
  <si>
    <t>利子補給期間</t>
    <rPh sb="0" eb="6">
      <t>リシホキュウキカン</t>
    </rPh>
    <phoneticPr fontId="2"/>
  </si>
  <si>
    <t>過疎地域</t>
    <rPh sb="0" eb="4">
      <t>カソチイキ</t>
    </rPh>
    <phoneticPr fontId="2"/>
  </si>
  <si>
    <t>金沢市</t>
    <rPh sb="0" eb="3">
      <t>カナザワシ</t>
    </rPh>
    <phoneticPr fontId="1"/>
  </si>
  <si>
    <t>7年間</t>
    <rPh sb="1" eb="3">
      <t>ネンカン</t>
    </rPh>
    <phoneticPr fontId="2"/>
  </si>
  <si>
    <t>－</t>
    <phoneticPr fontId="2"/>
  </si>
  <si>
    <t>白山市</t>
    <rPh sb="0" eb="3">
      <t>ハクサンシ</t>
    </rPh>
    <phoneticPr fontId="1"/>
  </si>
  <si>
    <t>小松市</t>
    <rPh sb="0" eb="3">
      <t>コマツシ</t>
    </rPh>
    <phoneticPr fontId="1"/>
  </si>
  <si>
    <t>能美市</t>
    <rPh sb="0" eb="3">
      <t>ノミシ</t>
    </rPh>
    <phoneticPr fontId="1"/>
  </si>
  <si>
    <t>野々市市</t>
    <rPh sb="0" eb="4">
      <t>ノノイチシ</t>
    </rPh>
    <phoneticPr fontId="1"/>
  </si>
  <si>
    <t>加賀市</t>
    <rPh sb="0" eb="3">
      <t>カガシ</t>
    </rPh>
    <phoneticPr fontId="1"/>
  </si>
  <si>
    <t>七尾市</t>
    <rPh sb="0" eb="3">
      <t>ナナオシ</t>
    </rPh>
    <phoneticPr fontId="1"/>
  </si>
  <si>
    <t>○</t>
    <phoneticPr fontId="2"/>
  </si>
  <si>
    <t>羽咋市</t>
    <rPh sb="0" eb="3">
      <t>ハクイシ</t>
    </rPh>
    <phoneticPr fontId="1"/>
  </si>
  <si>
    <t>志賀町</t>
    <rPh sb="0" eb="3">
      <t>シカマチ</t>
    </rPh>
    <phoneticPr fontId="1"/>
  </si>
  <si>
    <t>宝達志水町</t>
    <rPh sb="0" eb="5">
      <t>ホウダツシミズチョウ</t>
    </rPh>
    <phoneticPr fontId="1"/>
  </si>
  <si>
    <t>川北町</t>
    <rPh sb="0" eb="3">
      <t>カワキタマチ</t>
    </rPh>
    <phoneticPr fontId="1"/>
  </si>
  <si>
    <t>中能登町</t>
    <rPh sb="0" eb="4">
      <t>ナカノトマチ</t>
    </rPh>
    <phoneticPr fontId="1"/>
  </si>
  <si>
    <t>珠洲市</t>
    <rPh sb="0" eb="3">
      <t>スズシ</t>
    </rPh>
    <phoneticPr fontId="1"/>
  </si>
  <si>
    <t>かほく市</t>
    <rPh sb="3" eb="4">
      <t>シ</t>
    </rPh>
    <phoneticPr fontId="1"/>
  </si>
  <si>
    <t>輪島市</t>
    <rPh sb="0" eb="3">
      <t>ワジマシ</t>
    </rPh>
    <phoneticPr fontId="1"/>
  </si>
  <si>
    <t>津幡町</t>
    <rPh sb="0" eb="3">
      <t>ツバタマチ</t>
    </rPh>
    <phoneticPr fontId="1"/>
  </si>
  <si>
    <t>円</t>
    <rPh sb="0" eb="1">
      <t>エン</t>
    </rPh>
    <phoneticPr fontId="2"/>
  </si>
  <si>
    <t>常時使用する従業員は20人以下ですか？</t>
    <rPh sb="0" eb="4">
      <t>ジョウジシヨウ</t>
    </rPh>
    <rPh sb="6" eb="9">
      <t>ジュウギョウイン</t>
    </rPh>
    <rPh sb="12" eb="15">
      <t>ニンイカ</t>
    </rPh>
    <phoneticPr fontId="2"/>
  </si>
  <si>
    <t>石川県の経営革新計画は承認済みですか？</t>
    <rPh sb="0" eb="3">
      <t>イシカワケン</t>
    </rPh>
    <rPh sb="4" eb="10">
      <t>ケイエイカクシンケイカク</t>
    </rPh>
    <rPh sb="11" eb="14">
      <t>ショウニンズ</t>
    </rPh>
    <phoneticPr fontId="2"/>
  </si>
  <si>
    <t>Q1</t>
    <phoneticPr fontId="2"/>
  </si>
  <si>
    <t>Q2</t>
    <phoneticPr fontId="2"/>
  </si>
  <si>
    <t>Q3</t>
    <phoneticPr fontId="2"/>
  </si>
  <si>
    <t>Q4</t>
    <phoneticPr fontId="2"/>
  </si>
  <si>
    <t>利子補給期間</t>
    <rPh sb="0" eb="4">
      <t>リシホキュウ</t>
    </rPh>
    <rPh sb="4" eb="6">
      <t>キカン</t>
    </rPh>
    <phoneticPr fontId="2"/>
  </si>
  <si>
    <t>（Q2が「いいえの場合」）
現在申請している、又は申請予定ですか？</t>
    <rPh sb="9" eb="11">
      <t>バアイ</t>
    </rPh>
    <rPh sb="14" eb="16">
      <t>ゲンザイ</t>
    </rPh>
    <rPh sb="16" eb="18">
      <t>シンセイ</t>
    </rPh>
    <rPh sb="23" eb="24">
      <t>マタ</t>
    </rPh>
    <rPh sb="25" eb="29">
      <t>シンセイヨテイ</t>
    </rPh>
    <phoneticPr fontId="2"/>
  </si>
  <si>
    <t>返済回数</t>
    <rPh sb="0" eb="4">
      <t>ヘンサイカイスウ</t>
    </rPh>
    <phoneticPr fontId="2"/>
  </si>
  <si>
    <t>《シミュレーション結果》</t>
    <rPh sb="9" eb="11">
      <t>ケッカ</t>
    </rPh>
    <phoneticPr fontId="2"/>
  </si>
  <si>
    <t>石川県</t>
    <rPh sb="0" eb="3">
      <t>イシカワケン</t>
    </rPh>
    <phoneticPr fontId="2"/>
  </si>
  <si>
    <t>毎月返済元金</t>
    <rPh sb="0" eb="2">
      <t>マイツキ</t>
    </rPh>
    <rPh sb="2" eb="4">
      <t>ヘンサイ</t>
    </rPh>
    <rPh sb="4" eb="6">
      <t>ガンキン</t>
    </rPh>
    <phoneticPr fontId="2"/>
  </si>
  <si>
    <r>
      <rPr>
        <sz val="12"/>
        <color theme="1"/>
        <rFont val="HG丸ｺﾞｼｯｸM-PRO"/>
        <family val="3"/>
        <charset val="128"/>
      </rPr>
      <t>回</t>
    </r>
    <r>
      <rPr>
        <sz val="10"/>
        <color theme="1"/>
        <rFont val="HG丸ｺﾞｼｯｸM-PRO"/>
        <family val="3"/>
        <charset val="128"/>
      </rPr>
      <t>(据置除く)</t>
    </r>
    <rPh sb="0" eb="1">
      <t>カイ</t>
    </rPh>
    <rPh sb="2" eb="4">
      <t>スエオキ</t>
    </rPh>
    <rPh sb="4" eb="5">
      <t>ノゾ</t>
    </rPh>
    <phoneticPr fontId="2"/>
  </si>
  <si>
    <t>貸与利率</t>
    <rPh sb="0" eb="1">
      <t>カシ</t>
    </rPh>
    <rPh sb="1" eb="2">
      <t>ヨ</t>
    </rPh>
    <rPh sb="2" eb="3">
      <t>リ</t>
    </rPh>
    <rPh sb="3" eb="4">
      <t>リツ</t>
    </rPh>
    <phoneticPr fontId="2"/>
  </si>
  <si>
    <t>№</t>
    <phoneticPr fontId="2"/>
  </si>
  <si>
    <t>償還元金</t>
    <rPh sb="0" eb="4">
      <t>ショウカンガンキン</t>
    </rPh>
    <phoneticPr fontId="2"/>
  </si>
  <si>
    <t>貸与料</t>
    <rPh sb="0" eb="3">
      <t>タイヨリョウ</t>
    </rPh>
    <phoneticPr fontId="2"/>
  </si>
  <si>
    <t>貸与残高</t>
    <rPh sb="0" eb="4">
      <t>タイヨザンダカ</t>
    </rPh>
    <phoneticPr fontId="2"/>
  </si>
  <si>
    <t>合計</t>
    <rPh sb="0" eb="2">
      <t>ゴウケイ</t>
    </rPh>
    <phoneticPr fontId="2"/>
  </si>
  <si>
    <t>うち、利子補給分（貸与契約期間中合計）</t>
    <rPh sb="3" eb="7">
      <t>リシホキュウ</t>
    </rPh>
    <rPh sb="7" eb="8">
      <t>ブン</t>
    </rPh>
    <rPh sb="9" eb="18">
      <t>タイヨケイヤクキカンチュウゴウケイ</t>
    </rPh>
    <phoneticPr fontId="2"/>
  </si>
  <si>
    <t>利子補給</t>
    <rPh sb="0" eb="4">
      <t>リシホキュウ</t>
    </rPh>
    <phoneticPr fontId="2"/>
  </si>
  <si>
    <t>利子補給期間(数字だけ)</t>
    <rPh sb="0" eb="6">
      <t>リシホキュウキカン</t>
    </rPh>
    <rPh sb="7" eb="9">
      <t>スウジ</t>
    </rPh>
    <phoneticPr fontId="2"/>
  </si>
  <si>
    <t>貸与料合計 (A)</t>
    <rPh sb="0" eb="5">
      <t>タイヨリョウゴウケイ</t>
    </rPh>
    <phoneticPr fontId="2"/>
  </si>
  <si>
    <t>利子補給合計 (B)</t>
    <rPh sb="0" eb="2">
      <t>リシ</t>
    </rPh>
    <rPh sb="2" eb="4">
      <t>ホキュウ</t>
    </rPh>
    <rPh sb="4" eb="6">
      <t>ゴウケイ</t>
    </rPh>
    <phoneticPr fontId="2"/>
  </si>
  <si>
    <t>年度毎
貸与料</t>
    <rPh sb="0" eb="3">
      <t>ネンドゴト</t>
    </rPh>
    <rPh sb="4" eb="7">
      <t>タイヨリョウ</t>
    </rPh>
    <phoneticPr fontId="2"/>
  </si>
  <si>
    <t>(7年間)</t>
    <rPh sb="2" eb="4">
      <t>ネンカン</t>
    </rPh>
    <phoneticPr fontId="2"/>
  </si>
  <si>
    <t>(平均利率)</t>
    <rPh sb="1" eb="5">
      <t>ヘイキンリリツ</t>
    </rPh>
    <phoneticPr fontId="2"/>
  </si>
  <si>
    <t>%</t>
    <phoneticPr fontId="2"/>
  </si>
  <si>
    <t>旧高松町</t>
    <rPh sb="0" eb="4">
      <t>キュウタカマツマチ</t>
    </rPh>
    <phoneticPr fontId="1"/>
  </si>
  <si>
    <t>(年間平均)</t>
    <rPh sb="1" eb="3">
      <t>ネンカン</t>
    </rPh>
    <rPh sb="3" eb="5">
      <t>ヘイキン</t>
    </rPh>
    <phoneticPr fontId="2"/>
  </si>
  <si>
    <r>
      <t xml:space="preserve">貸与料
実質負担額
</t>
    </r>
    <r>
      <rPr>
        <sz val="14"/>
        <color theme="1"/>
        <rFont val="HG丸ｺﾞｼｯｸM-PRO"/>
        <family val="3"/>
        <charset val="128"/>
      </rPr>
      <t>(A) - (B)</t>
    </r>
    <rPh sb="0" eb="1">
      <t>カシ</t>
    </rPh>
    <rPh sb="1" eb="2">
      <t>ヨ</t>
    </rPh>
    <rPh sb="2" eb="3">
      <t>リョウ</t>
    </rPh>
    <rPh sb="4" eb="6">
      <t>ジッシツ</t>
    </rPh>
    <rPh sb="6" eb="8">
      <t>フタン</t>
    </rPh>
    <rPh sb="8" eb="9">
      <t>ガク</t>
    </rPh>
    <phoneticPr fontId="2"/>
  </si>
  <si>
    <t>プルダウンから選択</t>
    <rPh sb="7" eb="9">
      <t>センタク</t>
    </rPh>
    <phoneticPr fontId="2"/>
  </si>
  <si>
    <t xml:space="preserve">頭金納入(任意) </t>
    <rPh sb="0" eb="2">
      <t>アタマキン</t>
    </rPh>
    <rPh sb="2" eb="4">
      <t>ノウニュウ</t>
    </rPh>
    <rPh sb="5" eb="7">
      <t>ニンイ</t>
    </rPh>
    <phoneticPr fontId="2"/>
  </si>
  <si>
    <t>《 石川県の利子補給要件 》</t>
    <rPh sb="2" eb="4">
      <t>イシカワ</t>
    </rPh>
    <rPh sb="4" eb="5">
      <t>ケン</t>
    </rPh>
    <rPh sb="6" eb="8">
      <t>リシ</t>
    </rPh>
    <rPh sb="8" eb="10">
      <t>ホキュウ</t>
    </rPh>
    <rPh sb="10" eb="12">
      <t>ヨウケン</t>
    </rPh>
    <phoneticPr fontId="2"/>
  </si>
  <si>
    <t>利　子　補　給　率</t>
    <rPh sb="0" eb="1">
      <t>リ</t>
    </rPh>
    <rPh sb="2" eb="3">
      <t>コ</t>
    </rPh>
    <rPh sb="4" eb="5">
      <t>ホ</t>
    </rPh>
    <rPh sb="6" eb="7">
      <t>キュウ</t>
    </rPh>
    <rPh sb="8" eb="9">
      <t>リツ</t>
    </rPh>
    <phoneticPr fontId="2"/>
  </si>
  <si>
    <t>貸与料</t>
    <rPh sb="0" eb="3">
      <t>タイヨリョウ</t>
    </rPh>
    <phoneticPr fontId="2"/>
  </si>
  <si>
    <t>利子補給</t>
    <rPh sb="0" eb="4">
      <t>リシホキュウ</t>
    </rPh>
    <phoneticPr fontId="2"/>
  </si>
  <si>
    <t>実質負担</t>
    <rPh sb="0" eb="4">
      <t>ジッシツフタン</t>
    </rPh>
    <phoneticPr fontId="2"/>
  </si>
  <si>
    <t>貸与申込金額</t>
    <rPh sb="0" eb="2">
      <t>タイヨ</t>
    </rPh>
    <rPh sb="2" eb="4">
      <t>モウシコミ</t>
    </rPh>
    <rPh sb="4" eb="6">
      <t>キンガク</t>
    </rPh>
    <phoneticPr fontId="2"/>
  </si>
  <si>
    <t>申込金額超過前納分</t>
    <rPh sb="0" eb="4">
      <t>モウシコミキンガク</t>
    </rPh>
    <rPh sb="4" eb="6">
      <t>チョウカ</t>
    </rPh>
    <rPh sb="6" eb="9">
      <t>ゼンノウブン</t>
    </rPh>
    <phoneticPr fontId="2"/>
  </si>
  <si>
    <t>《 導入機械について 》</t>
    <rPh sb="2" eb="4">
      <t>ドウニュウ</t>
    </rPh>
    <rPh sb="4" eb="6">
      <t>キカイ</t>
    </rPh>
    <phoneticPr fontId="2"/>
  </si>
  <si>
    <t>：実際に支払う利息額</t>
    <rPh sb="1" eb="3">
      <t>ジッサイ</t>
    </rPh>
    <rPh sb="4" eb="6">
      <t>シハラ</t>
    </rPh>
    <rPh sb="7" eb="10">
      <t>リソクガク</t>
    </rPh>
    <phoneticPr fontId="2"/>
  </si>
  <si>
    <t>利子補給額</t>
    <rPh sb="0" eb="5">
      <t>リシホキュウガク</t>
    </rPh>
    <phoneticPr fontId="2"/>
  </si>
  <si>
    <t>：戻ってくる利子補給額</t>
    <rPh sb="1" eb="2">
      <t>モド</t>
    </rPh>
    <rPh sb="6" eb="10">
      <t>リシホキュウ</t>
    </rPh>
    <rPh sb="10" eb="11">
      <t>ガク</t>
    </rPh>
    <phoneticPr fontId="2"/>
  </si>
  <si>
    <t>：実質的に負担する金額</t>
    <rPh sb="1" eb="4">
      <t>ジッシツテキ</t>
    </rPh>
    <rPh sb="5" eb="7">
      <t>フタン</t>
    </rPh>
    <rPh sb="9" eb="11">
      <t>キンガク</t>
    </rPh>
    <phoneticPr fontId="2"/>
  </si>
  <si>
    <t>機械設備価格(税抜)</t>
    <rPh sb="0" eb="2">
      <t>キカイ</t>
    </rPh>
    <rPh sb="2" eb="4">
      <t>セツビ</t>
    </rPh>
    <rPh sb="4" eb="6">
      <t>カカク</t>
    </rPh>
    <rPh sb="7" eb="9">
      <t>ゼイヌ</t>
    </rPh>
    <phoneticPr fontId="2"/>
  </si>
  <si>
    <t xml:space="preserve">貸与料(①)
</t>
    <rPh sb="0" eb="3">
      <t>タイヨリョウ</t>
    </rPh>
    <phoneticPr fontId="2"/>
  </si>
  <si>
    <t>合計(②)</t>
    <rPh sb="0" eb="2">
      <t>ゴウケイ</t>
    </rPh>
    <phoneticPr fontId="2"/>
  </si>
  <si>
    <t>実質負担
(①－②)</t>
    <rPh sb="0" eb="4">
      <t>ジッシツフタン</t>
    </rPh>
    <phoneticPr fontId="2"/>
  </si>
  <si>
    <r>
      <t>●使い方●　白色セルについて、</t>
    </r>
    <r>
      <rPr>
        <b/>
        <u/>
        <sz val="11"/>
        <color rgb="FFFF0000"/>
        <rFont val="HG丸ｺﾞｼｯｸM-PRO"/>
        <family val="3"/>
        <charset val="128"/>
      </rPr>
      <t>数値を入力</t>
    </r>
    <r>
      <rPr>
        <b/>
        <sz val="11"/>
        <color theme="1"/>
        <rFont val="HG丸ｺﾞｼｯｸM-PRO"/>
        <family val="3"/>
        <charset val="128"/>
      </rPr>
      <t>または</t>
    </r>
    <r>
      <rPr>
        <b/>
        <u/>
        <sz val="11"/>
        <color rgb="FFFF0000"/>
        <rFont val="HG丸ｺﾞｼｯｸM-PRO"/>
        <family val="3"/>
        <charset val="128"/>
      </rPr>
      <t>プルダウンから選択</t>
    </r>
    <r>
      <rPr>
        <b/>
        <sz val="11"/>
        <color theme="1"/>
        <rFont val="HG丸ｺﾞｼｯｸM-PRO"/>
        <family val="3"/>
        <charset val="128"/>
      </rPr>
      <t>してください。</t>
    </r>
    <rPh sb="1" eb="2">
      <t>ツカ</t>
    </rPh>
    <rPh sb="3" eb="4">
      <t>カタ</t>
    </rPh>
    <rPh sb="15" eb="17">
      <t>スウチ</t>
    </rPh>
    <rPh sb="18" eb="20">
      <t>ニュウリョク</t>
    </rPh>
    <phoneticPr fontId="2"/>
  </si>
  <si>
    <t>（令和７年度現在）</t>
    <rPh sb="1" eb="3">
      <t>レイワ</t>
    </rPh>
    <rPh sb="4" eb="6">
      <t>ネンド</t>
    </rPh>
    <rPh sb="6" eb="8">
      <t>ゲンザイ</t>
    </rPh>
    <phoneticPr fontId="2"/>
  </si>
  <si>
    <t>切捨</t>
    <rPh sb="0" eb="2">
      <t>キリス</t>
    </rPh>
    <phoneticPr fontId="2"/>
  </si>
  <si>
    <t>1,000円未満</t>
  </si>
  <si>
    <t>100円未満</t>
  </si>
  <si>
    <t>1円未満</t>
  </si>
  <si>
    <t>予定時期</t>
    <rPh sb="0" eb="4">
      <t>ヨテイジキ</t>
    </rPh>
    <phoneticPr fontId="2"/>
  </si>
  <si>
    <t>機械設置</t>
    <rPh sb="0" eb="2">
      <t>キカイ</t>
    </rPh>
    <rPh sb="2" eb="4">
      <t>セッチ</t>
    </rPh>
    <phoneticPr fontId="2"/>
  </si>
  <si>
    <t>予定場所</t>
    <rPh sb="0" eb="2">
      <t>ヨテイ</t>
    </rPh>
    <rPh sb="2" eb="4">
      <t>バショ</t>
    </rPh>
    <phoneticPr fontId="2"/>
  </si>
  <si>
    <t>年度</t>
    <rPh sb="0" eb="2">
      <t>ネンド</t>
    </rPh>
    <phoneticPr fontId="2"/>
  </si>
  <si>
    <t>切捨表示</t>
    <rPh sb="0" eb="2">
      <t>キリス</t>
    </rPh>
    <rPh sb="2" eb="4">
      <t>ヒョウジ</t>
    </rPh>
    <phoneticPr fontId="2"/>
  </si>
  <si>
    <t>据置回数</t>
    <rPh sb="0" eb="4">
      <t>スエオキカイスウ</t>
    </rPh>
    <phoneticPr fontId="2"/>
  </si>
  <si>
    <t>実行月</t>
    <rPh sb="0" eb="3">
      <t>ジッコウヅキ</t>
    </rPh>
    <phoneticPr fontId="2"/>
  </si>
  <si>
    <t>据置期間</t>
    <rPh sb="0" eb="4">
      <t>スエオキキカン</t>
    </rPh>
    <phoneticPr fontId="2"/>
  </si>
  <si>
    <t>（詳細）</t>
    <rPh sb="1" eb="3">
      <t>ショウサイ</t>
    </rPh>
    <phoneticPr fontId="2"/>
  </si>
  <si>
    <t>平均残高</t>
    <rPh sb="0" eb="4">
      <t>ヘイキンザンダカ</t>
    </rPh>
    <phoneticPr fontId="2"/>
  </si>
  <si>
    <t>市町利子補給対象</t>
    <rPh sb="0" eb="8">
      <t>シマチリシホキュウタイショウ</t>
    </rPh>
    <phoneticPr fontId="2"/>
  </si>
  <si>
    <t>〇</t>
    <phoneticPr fontId="2"/>
  </si>
  <si>
    <t>契約予定日</t>
    <rPh sb="0" eb="5">
      <t>ケイヤクヨテイビ</t>
    </rPh>
    <phoneticPr fontId="2"/>
  </si>
  <si>
    <t>平均調達金利</t>
    <rPh sb="0" eb="6">
      <t>ヘイキンチョウタツキンリ</t>
    </rPh>
    <phoneticPr fontId="2"/>
  </si>
  <si>
    <t>利子補給額</t>
    <rPh sb="0" eb="5">
      <t>リシホキュウガク</t>
    </rPh>
    <phoneticPr fontId="2"/>
  </si>
  <si>
    <t>差引負担</t>
    <rPh sb="0" eb="2">
      <t>サシヒキ</t>
    </rPh>
    <rPh sb="2" eb="4">
      <t>フタン</t>
    </rPh>
    <phoneticPr fontId="2"/>
  </si>
  <si>
    <t>当初 3年間
(36ヶ月)</t>
    <rPh sb="0" eb="2">
      <t>トウショ</t>
    </rPh>
    <rPh sb="4" eb="6">
      <t>ネンカン</t>
    </rPh>
    <rPh sb="11" eb="12">
      <t>ゲツ</t>
    </rPh>
    <phoneticPr fontId="2"/>
  </si>
  <si>
    <t>当初 3年間
(36ヶ月)</t>
    <rPh sb="0" eb="2">
      <t>トウショ</t>
    </rPh>
    <rPh sb="4" eb="6">
      <t>ネンカン</t>
    </rPh>
    <phoneticPr fontId="2"/>
  </si>
  <si>
    <t>当初 4年間
(48ヶ月)</t>
    <rPh sb="0" eb="2">
      <t>トウショ</t>
    </rPh>
    <rPh sb="4" eb="6">
      <t>ネンカン</t>
    </rPh>
    <phoneticPr fontId="2"/>
  </si>
  <si>
    <t>助成限度額</t>
    <rPh sb="0" eb="5">
      <t>ジョセイゲンドガク</t>
    </rPh>
    <phoneticPr fontId="2"/>
  </si>
  <si>
    <t>上限無しでの
金額</t>
    <rPh sb="0" eb="2">
      <t>ジョウゲン</t>
    </rPh>
    <rPh sb="2" eb="3">
      <t>ナ</t>
    </rPh>
    <rPh sb="7" eb="9">
      <t>キンガク</t>
    </rPh>
    <phoneticPr fontId="2"/>
  </si>
  <si>
    <t>実際の金額
(上限考慮)</t>
    <rPh sb="0" eb="2">
      <t>ジッサイ</t>
    </rPh>
    <rPh sb="3" eb="5">
      <t>キンガク</t>
    </rPh>
    <rPh sb="7" eb="11">
      <t>ジョウゲンコウリョ</t>
    </rPh>
    <phoneticPr fontId="2"/>
  </si>
  <si>
    <t>市町の金額を
考慮しない金額</t>
    <rPh sb="0" eb="2">
      <t>シマチ</t>
    </rPh>
    <rPh sb="3" eb="5">
      <t>キンガク</t>
    </rPh>
    <rPh sb="7" eb="9">
      <t>コウリョ</t>
    </rPh>
    <rPh sb="12" eb="14">
      <t>キンガク</t>
    </rPh>
    <phoneticPr fontId="2"/>
  </si>
  <si>
    <t>実際の金額
(市町考慮)</t>
    <rPh sb="0" eb="2">
      <t>ジッサイ</t>
    </rPh>
    <rPh sb="3" eb="5">
      <t>キンガク</t>
    </rPh>
    <rPh sb="7" eb="9">
      <t>シチョウ</t>
    </rPh>
    <rPh sb="9" eb="11">
      <t>コウリョ</t>
    </rPh>
    <phoneticPr fontId="2"/>
  </si>
  <si>
    <t>うち、
市町利子補給
対象貸与料</t>
    <rPh sb="4" eb="6">
      <t>シマチ</t>
    </rPh>
    <rPh sb="6" eb="10">
      <t>リシホキュウ</t>
    </rPh>
    <rPh sb="11" eb="13">
      <t>タイショウ</t>
    </rPh>
    <rPh sb="13" eb="16">
      <t>タイヨリョウ</t>
    </rPh>
    <phoneticPr fontId="2"/>
  </si>
  <si>
    <t>プルダウンから選択</t>
  </si>
  <si>
    <t>加重平均
調達金利</t>
    <rPh sb="0" eb="2">
      <t>カジュウ</t>
    </rPh>
    <rPh sb="2" eb="4">
      <t>ヘイキン</t>
    </rPh>
    <rPh sb="5" eb="9">
      <t>チョウタツキンリ</t>
    </rPh>
    <phoneticPr fontId="2"/>
  </si>
  <si>
    <t>加重
(平均残高)</t>
    <rPh sb="0" eb="2">
      <t>カジュウ</t>
    </rPh>
    <rPh sb="4" eb="8">
      <t>ヘイキンザンダカ</t>
    </rPh>
    <phoneticPr fontId="2"/>
  </si>
  <si>
    <t>平均
調達金利</t>
    <rPh sb="0" eb="2">
      <t>ヘイキン</t>
    </rPh>
    <rPh sb="3" eb="5">
      <t>チョウタツ</t>
    </rPh>
    <rPh sb="5" eb="7">
      <t>キンリ</t>
    </rPh>
    <phoneticPr fontId="2"/>
  </si>
  <si>
    <r>
      <rPr>
        <b/>
        <sz val="9"/>
        <color theme="1"/>
        <rFont val="HG丸ｺﾞｼｯｸM-PRO"/>
        <family val="3"/>
        <charset val="128"/>
      </rPr>
      <t>【注意事項】</t>
    </r>
    <r>
      <rPr>
        <sz val="9"/>
        <color theme="1"/>
        <rFont val="HG丸ｺﾞｼｯｸM-PRO"/>
        <family val="3"/>
        <charset val="128"/>
      </rPr>
      <t xml:space="preserve">
　本シミュレーションはあくまで参考です。審査通過、貸与決定、利子補給の内容等を保証するものではございません。また、貸与料、利子補給額、毎月返済額等についても参考値ですので、本シミュレーションに表示されている金額が確約されているものではないことや、契約内容等によって金額が変わってくることをご承知おきください。</t>
    </r>
    <rPh sb="42" eb="44">
      <t>ナイヨウ</t>
    </rPh>
    <rPh sb="64" eb="67">
      <t>タイヨリョウ</t>
    </rPh>
    <rPh sb="78" eb="79">
      <t>ガク</t>
    </rPh>
    <rPh sb="130" eb="135">
      <t>ケイヤクナイヨウトウ</t>
    </rPh>
    <rPh sb="139" eb="141">
      <t>キンガク</t>
    </rPh>
    <rPh sb="142" eb="143">
      <t>カ</t>
    </rPh>
    <phoneticPr fontId="2"/>
  </si>
  <si>
    <t>【石川県の経営革新計画HP】</t>
  </si>
  <si>
    <t>年</t>
    <rPh sb="0" eb="1">
      <t>ネン</t>
    </rPh>
    <phoneticPr fontId="2"/>
  </si>
  <si>
    <t>月</t>
    <rPh sb="0" eb="1">
      <t>ツキ</t>
    </rPh>
    <phoneticPr fontId="2"/>
  </si>
  <si>
    <t>償還日</t>
    <phoneticPr fontId="2"/>
  </si>
  <si>
    <t>機械を設置する地域は
｢過疎(準過疎)地域市町等｣に指定されていますか？</t>
    <rPh sb="0" eb="2">
      <t>キカイ</t>
    </rPh>
    <rPh sb="3" eb="5">
      <t>セッチ</t>
    </rPh>
    <rPh sb="7" eb="9">
      <t>チイキ</t>
    </rPh>
    <rPh sb="12" eb="14">
      <t>カソ</t>
    </rPh>
    <rPh sb="15" eb="16">
      <t>ジュン</t>
    </rPh>
    <rPh sb="16" eb="18">
      <t>カソ</t>
    </rPh>
    <rPh sb="19" eb="21">
      <t>チイキ</t>
    </rPh>
    <rPh sb="21" eb="24">
      <t>シマチトウ</t>
    </rPh>
    <rPh sb="26" eb="28">
      <t>シテイ</t>
    </rPh>
    <phoneticPr fontId="2"/>
  </si>
  <si>
    <t>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</si>
</sst>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Red]\(0.00\)"/>
    <numFmt numFmtId="178" formatCode="[Red][&gt;60000000]&quot;金額オーバー&quot;;#,###"/>
    <numFmt numFmtId="179" formatCode="0_);[Red]\(0\)"/>
    <numFmt numFmtId="180" formatCode="\(###&quot;月&quot;&quot;実&quot;&quot;行&quot;\)"/>
    <numFmt numFmtId="181" formatCode="###\ &quot;回&quot;"/>
    <numFmt numFmtId="182" formatCode="[$-F800]dddd\,\ mmmm\ dd\,\ yyyy"/>
    <numFmt numFmtId="183" formatCode="###\ &quot;年&quot;&quot;度&quot;"/>
    <numFmt numFmtId="184" formatCode="\(###\ &quot;年&quot;&quot;度&quot;\)"/>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b/>
      <sz val="11"/>
      <color theme="1"/>
      <name val="HG丸ｺﾞｼｯｸM-PRO"/>
      <family val="3"/>
      <charset val="128"/>
    </font>
    <font>
      <b/>
      <sz val="11"/>
      <color rgb="FFFF0000"/>
      <name val="HG丸ｺﾞｼｯｸM-PRO"/>
      <family val="3"/>
      <charset val="128"/>
    </font>
    <font>
      <b/>
      <sz val="14"/>
      <color theme="1"/>
      <name val="HG丸ｺﾞｼｯｸM-PRO"/>
      <family val="3"/>
      <charset val="128"/>
    </font>
    <font>
      <sz val="16"/>
      <color theme="1"/>
      <name val="HG丸ｺﾞｼｯｸM-PRO"/>
      <family val="3"/>
      <charset val="128"/>
    </font>
    <font>
      <b/>
      <sz val="14"/>
      <color indexed="81"/>
      <name val="HG丸ｺﾞｼｯｸM-PRO"/>
      <family val="3"/>
      <charset val="128"/>
    </font>
    <font>
      <b/>
      <sz val="14"/>
      <color rgb="FFFF0000"/>
      <name val="HG丸ｺﾞｼｯｸM-PRO"/>
      <family val="3"/>
      <charset val="128"/>
    </font>
    <font>
      <sz val="14"/>
      <color indexed="81"/>
      <name val="HG丸ｺﾞｼｯｸM-PRO"/>
      <family val="3"/>
      <charset val="128"/>
    </font>
    <font>
      <b/>
      <sz val="16"/>
      <color indexed="81"/>
      <name val="UD デジタル 教科書体 NP-R"/>
      <family val="1"/>
      <charset val="128"/>
    </font>
    <font>
      <sz val="9"/>
      <color theme="1"/>
      <name val="HG丸ｺﾞｼｯｸM-PRO"/>
      <family val="3"/>
      <charset val="128"/>
    </font>
    <font>
      <b/>
      <sz val="14"/>
      <color indexed="81"/>
      <name val="UD デジタル 教科書体 NP-R"/>
      <family val="1"/>
      <charset val="128"/>
    </font>
    <font>
      <b/>
      <sz val="16"/>
      <color rgb="FFFF0000"/>
      <name val="HG丸ｺﾞｼｯｸM-PRO"/>
      <family val="3"/>
      <charset val="128"/>
    </font>
    <font>
      <b/>
      <sz val="11"/>
      <color indexed="81"/>
      <name val="HG丸ｺﾞｼｯｸM-PRO"/>
      <family val="3"/>
      <charset val="128"/>
    </font>
    <font>
      <sz val="11"/>
      <color indexed="81"/>
      <name val="HG丸ｺﾞｼｯｸM-PRO"/>
      <family val="3"/>
      <charset val="128"/>
    </font>
    <font>
      <u/>
      <sz val="11"/>
      <color indexed="81"/>
      <name val="HG丸ｺﾞｼｯｸM-PRO"/>
      <family val="3"/>
      <charset val="128"/>
    </font>
    <font>
      <b/>
      <i/>
      <sz val="11"/>
      <color indexed="81"/>
      <name val="HG丸ｺﾞｼｯｸM-PRO"/>
      <family val="3"/>
      <charset val="128"/>
    </font>
    <font>
      <u/>
      <sz val="11"/>
      <color indexed="10"/>
      <name val="HG丸ｺﾞｼｯｸM-PRO"/>
      <family val="3"/>
      <charset val="128"/>
    </font>
    <font>
      <b/>
      <sz val="11"/>
      <color rgb="FF002060"/>
      <name val="HG丸ｺﾞｼｯｸM-PRO"/>
      <family val="3"/>
      <charset val="128"/>
    </font>
    <font>
      <b/>
      <sz val="9"/>
      <color theme="1"/>
      <name val="HG丸ｺﾞｼｯｸM-PRO"/>
      <family val="3"/>
      <charset val="128"/>
    </font>
    <font>
      <b/>
      <sz val="20"/>
      <color theme="1"/>
      <name val="HG丸ｺﾞｼｯｸM-PRO"/>
      <family val="3"/>
      <charset val="128"/>
    </font>
    <font>
      <b/>
      <u/>
      <sz val="11"/>
      <color rgb="FFFF0000"/>
      <name val="HG丸ｺﾞｼｯｸM-PRO"/>
      <family val="3"/>
      <charset val="128"/>
    </font>
    <font>
      <b/>
      <sz val="12"/>
      <color theme="1"/>
      <name val="HG丸ｺﾞｼｯｸM-PRO"/>
      <family val="3"/>
      <charset val="128"/>
    </font>
    <font>
      <b/>
      <u/>
      <sz val="11"/>
      <color indexed="81"/>
      <name val="HG丸ｺﾞｼｯｸM-PRO"/>
      <family val="3"/>
      <charset val="128"/>
    </font>
    <font>
      <sz val="9"/>
      <color rgb="FFFF0000"/>
      <name val="HG丸ｺﾞｼｯｸM-PRO"/>
      <family val="3"/>
      <charset val="128"/>
    </font>
    <font>
      <u/>
      <sz val="11"/>
      <color theme="10"/>
      <name val="游ゴシック"/>
      <family val="2"/>
      <charset val="128"/>
      <scheme val="minor"/>
    </font>
    <font>
      <u/>
      <sz val="12"/>
      <color theme="10"/>
      <name val="游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9FF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double">
        <color indexed="64"/>
      </right>
      <top/>
      <bottom style="mediumDashed">
        <color indexed="64"/>
      </bottom>
      <diagonal/>
    </border>
    <border>
      <left style="double">
        <color indexed="64"/>
      </left>
      <right/>
      <top/>
      <bottom style="mediumDashed">
        <color indexed="64"/>
      </bottom>
      <diagonal/>
    </border>
    <border>
      <left/>
      <right/>
      <top style="medium">
        <color indexed="64"/>
      </top>
      <bottom/>
      <diagonal/>
    </border>
    <border>
      <left style="double">
        <color indexed="64"/>
      </left>
      <right/>
      <top style="mediumDashed">
        <color indexed="64"/>
      </top>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bottom/>
      <diagonal/>
    </border>
    <border>
      <left/>
      <right/>
      <top style="medium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33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10" fontId="0" fillId="0" borderId="1" xfId="2" applyNumberFormat="1" applyFont="1" applyBorder="1" applyAlignment="1">
      <alignment horizontal="center" vertical="center"/>
    </xf>
    <xf numFmtId="0" fontId="0" fillId="0" borderId="1" xfId="2" applyNumberFormat="1" applyFont="1" applyBorder="1" applyAlignment="1">
      <alignment horizontal="center" vertical="center"/>
    </xf>
    <xf numFmtId="0" fontId="0" fillId="2" borderId="1" xfId="0" applyFill="1" applyBorder="1" applyAlignment="1">
      <alignment horizontal="center" vertical="center" wrapText="1"/>
    </xf>
    <xf numFmtId="177" fontId="0" fillId="0" borderId="1" xfId="2" applyNumberFormat="1" applyFont="1" applyBorder="1" applyAlignment="1">
      <alignment horizontal="center" vertical="center"/>
    </xf>
    <xf numFmtId="0" fontId="3" fillId="4" borderId="0" xfId="0" applyFont="1" applyFill="1">
      <alignment vertical="center"/>
    </xf>
    <xf numFmtId="0" fontId="3" fillId="4" borderId="0" xfId="0" applyFont="1" applyFill="1" applyAlignment="1">
      <alignment vertical="center" wrapText="1"/>
    </xf>
    <xf numFmtId="0" fontId="3" fillId="9" borderId="2" xfId="0" applyFont="1" applyFill="1" applyBorder="1">
      <alignment vertical="center"/>
    </xf>
    <xf numFmtId="0" fontId="3" fillId="9" borderId="3" xfId="0" applyFont="1" applyFill="1" applyBorder="1">
      <alignment vertical="center"/>
    </xf>
    <xf numFmtId="0" fontId="3" fillId="9" borderId="5" xfId="0" applyFont="1" applyFill="1" applyBorder="1">
      <alignment vertical="center"/>
    </xf>
    <xf numFmtId="0" fontId="3" fillId="9" borderId="0" xfId="0" applyFont="1" applyFill="1">
      <alignment vertical="center"/>
    </xf>
    <xf numFmtId="0" fontId="9" fillId="9" borderId="10" xfId="0" applyFont="1" applyFill="1" applyBorder="1" applyAlignment="1"/>
    <xf numFmtId="0" fontId="3" fillId="9" borderId="28" xfId="0" applyFont="1" applyFill="1" applyBorder="1">
      <alignment vertical="center"/>
    </xf>
    <xf numFmtId="0" fontId="3" fillId="9" borderId="13" xfId="0" applyFont="1" applyFill="1" applyBorder="1">
      <alignment vertical="center"/>
    </xf>
    <xf numFmtId="0" fontId="4" fillId="9" borderId="13" xfId="0" applyFont="1" applyFill="1" applyBorder="1">
      <alignment vertical="center"/>
    </xf>
    <xf numFmtId="0" fontId="3" fillId="9" borderId="27" xfId="0" applyFont="1" applyFill="1" applyBorder="1">
      <alignment vertical="center"/>
    </xf>
    <xf numFmtId="0" fontId="3" fillId="9" borderId="6" xfId="0" applyFont="1" applyFill="1" applyBorder="1">
      <alignment vertical="center"/>
    </xf>
    <xf numFmtId="0" fontId="3" fillId="9" borderId="4" xfId="0" applyFont="1" applyFill="1" applyBorder="1">
      <alignment vertical="center"/>
    </xf>
    <xf numFmtId="0" fontId="5" fillId="9" borderId="0" xfId="0" applyFont="1" applyFill="1">
      <alignment vertical="center"/>
    </xf>
    <xf numFmtId="0" fontId="3" fillId="9" borderId="30" xfId="0" applyFont="1" applyFill="1" applyBorder="1">
      <alignment vertical="center"/>
    </xf>
    <xf numFmtId="0" fontId="4" fillId="9" borderId="0" xfId="0" applyFont="1" applyFill="1" applyAlignment="1">
      <alignment vertical="top"/>
    </xf>
    <xf numFmtId="0" fontId="17" fillId="9" borderId="0" xfId="0" applyFont="1" applyFill="1" applyAlignment="1">
      <alignment vertical="top" wrapText="1"/>
    </xf>
    <xf numFmtId="0" fontId="17" fillId="9" borderId="0" xfId="0" applyFont="1" applyFill="1" applyAlignment="1">
      <alignment horizontal="right" vertical="top" wrapText="1" indent="3"/>
    </xf>
    <xf numFmtId="0" fontId="3" fillId="9" borderId="8" xfId="0" applyFont="1" applyFill="1" applyBorder="1">
      <alignment vertical="center"/>
    </xf>
    <xf numFmtId="0" fontId="3" fillId="9" borderId="9" xfId="0" applyFont="1" applyFill="1" applyBorder="1">
      <alignment vertical="center"/>
    </xf>
    <xf numFmtId="0" fontId="3" fillId="9" borderId="7" xfId="0" applyFont="1" applyFill="1" applyBorder="1">
      <alignment vertical="center"/>
    </xf>
    <xf numFmtId="0" fontId="4" fillId="9" borderId="0" xfId="0" applyFont="1" applyFill="1" applyAlignment="1"/>
    <xf numFmtId="0" fontId="3" fillId="9" borderId="0" xfId="0" applyFont="1" applyFill="1" applyAlignment="1">
      <alignment horizontal="right" vertical="center"/>
    </xf>
    <xf numFmtId="0" fontId="3" fillId="9" borderId="45" xfId="0" applyFont="1" applyFill="1" applyBorder="1">
      <alignment vertical="center"/>
    </xf>
    <xf numFmtId="0" fontId="3" fillId="9" borderId="14" xfId="0" applyFont="1" applyFill="1" applyBorder="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10" fontId="4" fillId="0" borderId="1" xfId="2" applyNumberFormat="1" applyFont="1" applyFill="1" applyBorder="1" applyAlignment="1">
      <alignment horizontal="center" vertical="center"/>
    </xf>
    <xf numFmtId="181" fontId="4" fillId="0" borderId="1" xfId="2"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11" xfId="0" applyFont="1" applyBorder="1" applyAlignment="1">
      <alignment horizontal="center" vertical="center" shrinkToFit="1"/>
    </xf>
    <xf numFmtId="176" fontId="4" fillId="0" borderId="1" xfId="0" applyNumberFormat="1" applyFont="1" applyBorder="1" applyAlignment="1">
      <alignment horizontal="center" vertical="center"/>
    </xf>
    <xf numFmtId="38" fontId="4" fillId="0" borderId="1" xfId="1" applyFont="1" applyFill="1" applyBorder="1" applyAlignment="1">
      <alignment horizontal="right" vertical="center" indent="1"/>
    </xf>
    <xf numFmtId="179" fontId="3" fillId="0" borderId="1" xfId="0" applyNumberFormat="1" applyFont="1" applyBorder="1" applyAlignment="1">
      <alignment horizontal="center" vertical="center"/>
    </xf>
    <xf numFmtId="38" fontId="4" fillId="0" borderId="16" xfId="1" applyFont="1" applyFill="1" applyBorder="1" applyAlignment="1">
      <alignment vertical="center"/>
    </xf>
    <xf numFmtId="38" fontId="4" fillId="6" borderId="16" xfId="1" applyFont="1" applyFill="1" applyBorder="1" applyAlignment="1">
      <alignment vertical="center"/>
    </xf>
    <xf numFmtId="38" fontId="4" fillId="7" borderId="1" xfId="1" applyFont="1" applyFill="1" applyBorder="1" applyAlignment="1">
      <alignment vertical="center"/>
    </xf>
    <xf numFmtId="179" fontId="3" fillId="0" borderId="11" xfId="0" applyNumberFormat="1" applyFont="1" applyBorder="1" applyAlignment="1">
      <alignment horizontal="center" vertical="center"/>
    </xf>
    <xf numFmtId="38" fontId="4" fillId="0" borderId="15" xfId="1" applyFont="1" applyFill="1" applyBorder="1" applyAlignment="1">
      <alignment vertical="center"/>
    </xf>
    <xf numFmtId="38" fontId="4" fillId="7" borderId="21" xfId="1" applyFont="1" applyFill="1" applyBorder="1" applyAlignment="1">
      <alignment vertical="center"/>
    </xf>
    <xf numFmtId="38" fontId="4" fillId="0" borderId="17" xfId="1" applyFont="1" applyFill="1" applyBorder="1" applyAlignment="1">
      <alignment vertical="center"/>
    </xf>
    <xf numFmtId="0" fontId="4" fillId="0" borderId="23" xfId="0" applyFont="1" applyBorder="1" applyAlignment="1">
      <alignment horizontal="center" vertical="center" shrinkToFit="1"/>
    </xf>
    <xf numFmtId="176" fontId="4" fillId="0" borderId="21" xfId="0" applyNumberFormat="1" applyFont="1" applyBorder="1" applyAlignment="1">
      <alignment horizontal="center" vertical="center"/>
    </xf>
    <xf numFmtId="38" fontId="4" fillId="0" borderId="21" xfId="1" applyFont="1" applyFill="1" applyBorder="1" applyAlignment="1">
      <alignment horizontal="right" vertical="center" indent="1"/>
    </xf>
    <xf numFmtId="38" fontId="4" fillId="0" borderId="17" xfId="1" applyFont="1" applyFill="1" applyBorder="1" applyAlignment="1">
      <alignment horizontal="right" vertical="center" indent="1"/>
    </xf>
    <xf numFmtId="38" fontId="4" fillId="0" borderId="22" xfId="1" applyFont="1" applyFill="1" applyBorder="1" applyAlignment="1">
      <alignment horizontal="right" vertical="center" indent="1"/>
    </xf>
    <xf numFmtId="0" fontId="3" fillId="0" borderId="1" xfId="0" applyFont="1" applyBorder="1">
      <alignment vertical="center"/>
    </xf>
    <xf numFmtId="38" fontId="4" fillId="0" borderId="48" xfId="1" applyFont="1" applyFill="1" applyBorder="1" applyAlignment="1">
      <alignment vertical="center"/>
    </xf>
    <xf numFmtId="38" fontId="4" fillId="0" borderId="1" xfId="1" applyFont="1" applyFill="1" applyBorder="1" applyAlignment="1">
      <alignment vertical="center"/>
    </xf>
    <xf numFmtId="38" fontId="4" fillId="0" borderId="21" xfId="1" applyFont="1" applyFill="1" applyBorder="1" applyAlignment="1">
      <alignment vertical="center"/>
    </xf>
    <xf numFmtId="38" fontId="4" fillId="0" borderId="1" xfId="0" applyNumberFormat="1" applyFont="1" applyBorder="1">
      <alignment vertical="center"/>
    </xf>
    <xf numFmtId="179" fontId="3" fillId="0" borderId="23" xfId="0" applyNumberFormat="1" applyFont="1" applyBorder="1" applyAlignment="1">
      <alignment horizontal="center" vertical="center"/>
    </xf>
    <xf numFmtId="0" fontId="5" fillId="9" borderId="0" xfId="0" applyFont="1" applyFill="1" applyAlignment="1">
      <alignment horizontal="left" vertical="center"/>
    </xf>
    <xf numFmtId="0" fontId="3" fillId="9" borderId="0" xfId="0" applyFont="1" applyFill="1" applyAlignment="1">
      <alignment horizontal="left" vertical="center"/>
    </xf>
    <xf numFmtId="0" fontId="3" fillId="0" borderId="1" xfId="0" applyFont="1" applyBorder="1" applyAlignment="1">
      <alignment horizontal="center" vertical="center" wrapText="1"/>
    </xf>
    <xf numFmtId="0" fontId="4" fillId="0" borderId="15" xfId="0" applyFont="1" applyBorder="1">
      <alignment vertical="center"/>
    </xf>
    <xf numFmtId="10" fontId="4" fillId="0" borderId="16" xfId="2" applyNumberFormat="1" applyFont="1" applyFill="1" applyBorder="1" applyAlignment="1">
      <alignment horizontal="center" vertical="center"/>
    </xf>
    <xf numFmtId="10" fontId="4" fillId="0" borderId="21" xfId="2" applyNumberFormat="1" applyFont="1" applyFill="1" applyBorder="1" applyAlignment="1">
      <alignment horizontal="center" vertical="center"/>
    </xf>
    <xf numFmtId="10" fontId="27" fillId="0" borderId="17" xfId="2" applyNumberFormat="1" applyFont="1" applyFill="1" applyBorder="1" applyAlignment="1">
      <alignment horizontal="center" vertical="center"/>
    </xf>
    <xf numFmtId="10" fontId="0" fillId="0" borderId="1" xfId="2" applyNumberFormat="1" applyFont="1" applyBorder="1" applyAlignment="1">
      <alignment horizontal="center" vertical="center" wrapText="1"/>
    </xf>
    <xf numFmtId="38" fontId="3" fillId="0" borderId="1" xfId="1" applyFont="1" applyBorder="1" applyAlignment="1">
      <alignment vertical="center"/>
    </xf>
    <xf numFmtId="38" fontId="3" fillId="0" borderId="21" xfId="1" applyFont="1" applyBorder="1" applyAlignment="1">
      <alignment vertical="center"/>
    </xf>
    <xf numFmtId="38" fontId="0" fillId="0" borderId="1" xfId="1" applyFont="1" applyBorder="1" applyAlignment="1">
      <alignment vertical="center"/>
    </xf>
    <xf numFmtId="38" fontId="4" fillId="7" borderId="16" xfId="1" applyFont="1" applyFill="1" applyBorder="1" applyAlignment="1">
      <alignment vertical="center"/>
    </xf>
    <xf numFmtId="38" fontId="4" fillId="6" borderId="21" xfId="1" applyFont="1" applyFill="1" applyBorder="1" applyAlignment="1">
      <alignment vertical="center"/>
    </xf>
    <xf numFmtId="0" fontId="3" fillId="0" borderId="16" xfId="0" applyFont="1" applyBorder="1" applyAlignment="1">
      <alignment horizontal="center" vertical="center" wrapText="1"/>
    </xf>
    <xf numFmtId="0" fontId="4" fillId="0" borderId="17" xfId="0" applyFont="1" applyBorder="1" applyAlignment="1">
      <alignment horizontal="center" vertical="center"/>
    </xf>
    <xf numFmtId="0" fontId="4" fillId="3" borderId="1" xfId="0" applyFont="1" applyFill="1" applyBorder="1" applyAlignment="1">
      <alignment horizontal="center" vertical="center"/>
    </xf>
    <xf numFmtId="10" fontId="4" fillId="0" borderId="16" xfId="2" applyNumberFormat="1" applyFont="1" applyFill="1" applyBorder="1" applyAlignment="1">
      <alignment vertical="center"/>
    </xf>
    <xf numFmtId="10" fontId="4" fillId="0" borderId="21" xfId="2" applyNumberFormat="1" applyFont="1" applyFill="1" applyBorder="1" applyAlignment="1">
      <alignment vertical="center"/>
    </xf>
    <xf numFmtId="10" fontId="27" fillId="0" borderId="17" xfId="2" applyNumberFormat="1" applyFont="1" applyFill="1" applyBorder="1" applyAlignment="1">
      <alignment vertical="center"/>
    </xf>
    <xf numFmtId="0" fontId="4" fillId="9" borderId="0" xfId="0" applyFont="1" applyFill="1">
      <alignment vertical="center"/>
    </xf>
    <xf numFmtId="0" fontId="29" fillId="9" borderId="51" xfId="0" applyFont="1" applyFill="1" applyBorder="1" applyAlignment="1">
      <alignment horizontal="right" vertical="center" shrinkToFit="1"/>
    </xf>
    <xf numFmtId="0" fontId="5" fillId="9" borderId="1" xfId="0" applyFont="1" applyFill="1" applyBorder="1" applyAlignment="1">
      <alignment horizontal="distributed" vertical="center" indent="1"/>
    </xf>
    <xf numFmtId="38" fontId="9" fillId="9" borderId="1" xfId="1" applyFont="1" applyFill="1" applyBorder="1" applyAlignment="1" applyProtection="1">
      <alignment horizontal="right" vertical="center" indent="1"/>
    </xf>
    <xf numFmtId="40" fontId="5" fillId="9" borderId="18" xfId="1" applyNumberFormat="1" applyFont="1" applyFill="1" applyBorder="1" applyAlignment="1" applyProtection="1">
      <alignment horizontal="right" vertical="center" indent="1"/>
    </xf>
    <xf numFmtId="40" fontId="5" fillId="9" borderId="32" xfId="1" applyNumberFormat="1" applyFont="1" applyFill="1" applyBorder="1" applyAlignment="1" applyProtection="1">
      <alignment horizontal="right" vertical="center" indent="1"/>
    </xf>
    <xf numFmtId="40" fontId="5" fillId="9" borderId="15" xfId="1" applyNumberFormat="1" applyFont="1" applyFill="1" applyBorder="1" applyAlignment="1" applyProtection="1">
      <alignment horizontal="right" vertical="center" indent="1"/>
    </xf>
    <xf numFmtId="40" fontId="5" fillId="9" borderId="19" xfId="1" applyNumberFormat="1" applyFont="1" applyFill="1" applyBorder="1" applyAlignment="1" applyProtection="1">
      <alignment horizontal="right" vertical="center" indent="1"/>
    </xf>
    <xf numFmtId="40" fontId="5" fillId="9" borderId="10" xfId="1" applyNumberFormat="1" applyFont="1" applyFill="1" applyBorder="1" applyAlignment="1" applyProtection="1">
      <alignment horizontal="right" vertical="center" indent="1"/>
    </xf>
    <xf numFmtId="40" fontId="5" fillId="9" borderId="31" xfId="1" applyNumberFormat="1" applyFont="1" applyFill="1" applyBorder="1" applyAlignment="1" applyProtection="1">
      <alignment horizontal="right" vertical="center" indent="1"/>
    </xf>
    <xf numFmtId="38" fontId="5" fillId="9" borderId="18" xfId="1" applyFont="1" applyFill="1" applyBorder="1" applyAlignment="1" applyProtection="1">
      <alignment horizontal="right" vertical="center" wrapText="1" indent="1" shrinkToFit="1"/>
    </xf>
    <xf numFmtId="38" fontId="5" fillId="9" borderId="32" xfId="1" applyFont="1" applyFill="1" applyBorder="1" applyAlignment="1" applyProtection="1">
      <alignment horizontal="right" vertical="center" wrapText="1" indent="1" shrinkToFit="1"/>
    </xf>
    <xf numFmtId="38" fontId="5" fillId="9" borderId="15" xfId="1" applyFont="1" applyFill="1" applyBorder="1" applyAlignment="1" applyProtection="1">
      <alignment horizontal="right" vertical="center" wrapText="1" indent="1" shrinkToFit="1"/>
    </xf>
    <xf numFmtId="38" fontId="5" fillId="9" borderId="19" xfId="1" applyFont="1" applyFill="1" applyBorder="1" applyAlignment="1" applyProtection="1">
      <alignment horizontal="right" vertical="center" wrapText="1" indent="1" shrinkToFit="1"/>
    </xf>
    <xf numFmtId="38" fontId="5" fillId="9" borderId="10" xfId="1" applyFont="1" applyFill="1" applyBorder="1" applyAlignment="1" applyProtection="1">
      <alignment horizontal="right" vertical="center" wrapText="1" indent="1" shrinkToFit="1"/>
    </xf>
    <xf numFmtId="38" fontId="5" fillId="9" borderId="31" xfId="1" applyFont="1" applyFill="1" applyBorder="1" applyAlignment="1" applyProtection="1">
      <alignment horizontal="right" vertical="center" wrapText="1" indent="1" shrinkToFit="1"/>
    </xf>
    <xf numFmtId="38" fontId="5" fillId="9" borderId="18" xfId="1" applyFont="1" applyFill="1" applyBorder="1" applyAlignment="1" applyProtection="1">
      <alignment horizontal="right" vertical="center" indent="1"/>
    </xf>
    <xf numFmtId="38" fontId="5" fillId="9" borderId="32" xfId="1" applyFont="1" applyFill="1" applyBorder="1" applyAlignment="1" applyProtection="1">
      <alignment horizontal="right" vertical="center" indent="1"/>
    </xf>
    <xf numFmtId="38" fontId="5" fillId="9" borderId="15" xfId="1" applyFont="1" applyFill="1" applyBorder="1" applyAlignment="1" applyProtection="1">
      <alignment horizontal="right" vertical="center" indent="1"/>
    </xf>
    <xf numFmtId="38" fontId="5" fillId="9" borderId="19" xfId="1" applyFont="1" applyFill="1" applyBorder="1" applyAlignment="1" applyProtection="1">
      <alignment horizontal="right" vertical="center" indent="1"/>
    </xf>
    <xf numFmtId="38" fontId="5" fillId="9" borderId="10" xfId="1" applyFont="1" applyFill="1" applyBorder="1" applyAlignment="1" applyProtection="1">
      <alignment horizontal="right" vertical="center" indent="1"/>
    </xf>
    <xf numFmtId="38" fontId="5" fillId="9" borderId="31" xfId="1" applyFont="1" applyFill="1" applyBorder="1" applyAlignment="1" applyProtection="1">
      <alignment horizontal="right" vertical="center" indent="1"/>
    </xf>
    <xf numFmtId="0" fontId="5" fillId="9" borderId="18" xfId="0" applyFont="1" applyFill="1" applyBorder="1" applyAlignment="1">
      <alignment horizontal="distributed" vertical="center" indent="1"/>
    </xf>
    <xf numFmtId="0" fontId="5" fillId="9" borderId="32" xfId="0" applyFont="1" applyFill="1" applyBorder="1" applyAlignment="1">
      <alignment horizontal="distributed" vertical="center" indent="1"/>
    </xf>
    <xf numFmtId="0" fontId="5" fillId="9" borderId="15" xfId="0" applyFont="1" applyFill="1" applyBorder="1" applyAlignment="1">
      <alignment horizontal="distributed" vertical="center" indent="1"/>
    </xf>
    <xf numFmtId="0" fontId="5" fillId="9" borderId="19" xfId="0" applyFont="1" applyFill="1" applyBorder="1" applyAlignment="1">
      <alignment horizontal="distributed" vertical="center" indent="1"/>
    </xf>
    <xf numFmtId="0" fontId="5" fillId="9" borderId="10" xfId="0" applyFont="1" applyFill="1" applyBorder="1" applyAlignment="1">
      <alignment horizontal="distributed" vertical="center" indent="1"/>
    </xf>
    <xf numFmtId="0" fontId="5" fillId="9" borderId="31" xfId="0" applyFont="1" applyFill="1" applyBorder="1" applyAlignment="1">
      <alignment horizontal="distributed" vertical="center" indent="1"/>
    </xf>
    <xf numFmtId="0" fontId="9" fillId="9" borderId="35"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14"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7" fillId="9" borderId="20" xfId="0" applyFont="1" applyFill="1" applyBorder="1" applyAlignment="1">
      <alignment horizontal="center" vertical="center"/>
    </xf>
    <xf numFmtId="0" fontId="7" fillId="9" borderId="0" xfId="0" applyFont="1" applyFill="1" applyAlignment="1">
      <alignment horizontal="center" vertical="center"/>
    </xf>
    <xf numFmtId="0" fontId="7" fillId="9" borderId="26"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24" xfId="0" applyFont="1" applyFill="1" applyBorder="1" applyAlignment="1">
      <alignment horizontal="center" vertical="center"/>
    </xf>
    <xf numFmtId="0" fontId="7" fillId="9" borderId="29" xfId="0" applyFont="1" applyFill="1" applyBorder="1" applyAlignment="1">
      <alignment horizontal="center" vertical="center"/>
    </xf>
    <xf numFmtId="177" fontId="12" fillId="9" borderId="0" xfId="1" applyNumberFormat="1" applyFont="1" applyFill="1" applyBorder="1" applyAlignment="1" applyProtection="1">
      <alignment horizontal="right" vertical="center" indent="1" shrinkToFit="1"/>
    </xf>
    <xf numFmtId="177" fontId="12" fillId="9" borderId="39" xfId="1" applyNumberFormat="1" applyFont="1" applyFill="1" applyBorder="1" applyAlignment="1" applyProtection="1">
      <alignment horizontal="right" vertical="center" indent="1" shrinkToFit="1"/>
    </xf>
    <xf numFmtId="177" fontId="12" fillId="9" borderId="33" xfId="1" applyNumberFormat="1" applyFont="1" applyFill="1" applyBorder="1" applyAlignment="1" applyProtection="1">
      <alignment horizontal="right" vertical="center" indent="1" shrinkToFit="1"/>
    </xf>
    <xf numFmtId="177" fontId="12" fillId="9" borderId="37" xfId="1" applyNumberFormat="1" applyFont="1" applyFill="1" applyBorder="1" applyAlignment="1" applyProtection="1">
      <alignment horizontal="right" vertical="center" indent="1" shrinkToFit="1"/>
    </xf>
    <xf numFmtId="38" fontId="12" fillId="9" borderId="0" xfId="1" applyFont="1" applyFill="1" applyBorder="1" applyAlignment="1" applyProtection="1">
      <alignment horizontal="right" vertical="center" indent="1" shrinkToFit="1"/>
    </xf>
    <xf numFmtId="38" fontId="12" fillId="9" borderId="39" xfId="1" applyFont="1" applyFill="1" applyBorder="1" applyAlignment="1" applyProtection="1">
      <alignment horizontal="right" vertical="center" indent="1" shrinkToFit="1"/>
    </xf>
    <xf numFmtId="38" fontId="12" fillId="9" borderId="29" xfId="1" applyFont="1" applyFill="1" applyBorder="1" applyAlignment="1" applyProtection="1">
      <alignment horizontal="right" vertical="center" indent="1" shrinkToFit="1"/>
    </xf>
    <xf numFmtId="38" fontId="12" fillId="9" borderId="25" xfId="1" applyFont="1" applyFill="1" applyBorder="1" applyAlignment="1" applyProtection="1">
      <alignment horizontal="right" vertical="center" indent="1" shrinkToFit="1"/>
    </xf>
    <xf numFmtId="0" fontId="9" fillId="9" borderId="0" xfId="0" applyFont="1" applyFill="1" applyAlignment="1"/>
    <xf numFmtId="0" fontId="9" fillId="9" borderId="10" xfId="0" applyFont="1" applyFill="1" applyBorder="1" applyAlignment="1"/>
    <xf numFmtId="0" fontId="3" fillId="9" borderId="18" xfId="0" applyFont="1" applyFill="1" applyBorder="1" applyAlignment="1">
      <alignment horizontal="center" vertical="center"/>
    </xf>
    <xf numFmtId="0" fontId="3" fillId="9" borderId="32" xfId="0" applyFont="1" applyFill="1" applyBorder="1" applyAlignment="1">
      <alignment horizontal="center" vertical="center"/>
    </xf>
    <xf numFmtId="0" fontId="3" fillId="9" borderId="26" xfId="0" applyFont="1" applyFill="1" applyBorder="1" applyAlignment="1">
      <alignment horizontal="center" vertical="center"/>
    </xf>
    <xf numFmtId="0" fontId="3" fillId="9" borderId="33" xfId="0" applyFont="1" applyFill="1" applyBorder="1" applyAlignment="1">
      <alignment horizontal="center" vertical="center"/>
    </xf>
    <xf numFmtId="0" fontId="17" fillId="9" borderId="41" xfId="0" applyFont="1" applyFill="1" applyBorder="1" applyAlignment="1">
      <alignment horizontal="left"/>
    </xf>
    <xf numFmtId="0" fontId="17" fillId="9" borderId="10" xfId="0" applyFont="1" applyFill="1" applyBorder="1" applyAlignment="1">
      <alignment horizontal="left"/>
    </xf>
    <xf numFmtId="0" fontId="5" fillId="9" borderId="35" xfId="0" applyFont="1" applyFill="1" applyBorder="1" applyAlignment="1">
      <alignment horizontal="center" vertical="center"/>
    </xf>
    <xf numFmtId="0" fontId="5" fillId="9" borderId="29" xfId="0" applyFont="1" applyFill="1" applyBorder="1" applyAlignment="1">
      <alignment horizontal="center" vertical="center"/>
    </xf>
    <xf numFmtId="0" fontId="5" fillId="9" borderId="40" xfId="0" applyFont="1" applyFill="1" applyBorder="1" applyAlignment="1">
      <alignment horizontal="center" vertical="center"/>
    </xf>
    <xf numFmtId="0" fontId="5" fillId="9" borderId="0" xfId="0" applyFont="1" applyFill="1" applyAlignment="1">
      <alignment horizontal="center" vertical="center"/>
    </xf>
    <xf numFmtId="0" fontId="12" fillId="9" borderId="29" xfId="2" applyNumberFormat="1" applyFont="1" applyFill="1" applyBorder="1" applyAlignment="1" applyProtection="1">
      <alignment horizontal="center" vertical="center" wrapText="1" shrinkToFit="1"/>
    </xf>
    <xf numFmtId="0" fontId="12" fillId="9" borderId="25" xfId="2" applyNumberFormat="1" applyFont="1" applyFill="1" applyBorder="1" applyAlignment="1" applyProtection="1">
      <alignment horizontal="center" vertical="center" wrapText="1" shrinkToFit="1"/>
    </xf>
    <xf numFmtId="0" fontId="12" fillId="9" borderId="0" xfId="2" applyNumberFormat="1" applyFont="1" applyFill="1" applyBorder="1" applyAlignment="1" applyProtection="1">
      <alignment horizontal="center" vertical="center" wrapText="1" shrinkToFit="1"/>
    </xf>
    <xf numFmtId="0" fontId="12" fillId="9" borderId="39" xfId="2" applyNumberFormat="1" applyFont="1" applyFill="1" applyBorder="1" applyAlignment="1" applyProtection="1">
      <alignment horizontal="center" vertical="center" wrapText="1" shrinkToFit="1"/>
    </xf>
    <xf numFmtId="184" fontId="4" fillId="9" borderId="17" xfId="0" applyNumberFormat="1" applyFont="1" applyFill="1" applyBorder="1" applyAlignment="1">
      <alignment horizontal="center" vertical="center"/>
    </xf>
    <xf numFmtId="184" fontId="4" fillId="9" borderId="21" xfId="0" applyNumberFormat="1" applyFont="1" applyFill="1" applyBorder="1" applyAlignment="1">
      <alignment horizontal="center" vertical="center"/>
    </xf>
    <xf numFmtId="38" fontId="3" fillId="10" borderId="17" xfId="1" applyFont="1" applyFill="1" applyBorder="1" applyAlignment="1">
      <alignment horizontal="right" vertical="center"/>
    </xf>
    <xf numFmtId="38" fontId="3" fillId="10" borderId="21" xfId="1" applyFont="1" applyFill="1" applyBorder="1" applyAlignment="1">
      <alignment horizontal="right" vertical="center"/>
    </xf>
    <xf numFmtId="38" fontId="3" fillId="9" borderId="17" xfId="1" applyFont="1" applyFill="1" applyBorder="1" applyAlignment="1">
      <alignment horizontal="right" vertical="center"/>
    </xf>
    <xf numFmtId="38" fontId="3" fillId="9" borderId="21" xfId="1" applyFont="1" applyFill="1" applyBorder="1" applyAlignment="1">
      <alignment horizontal="right" vertical="center"/>
    </xf>
    <xf numFmtId="38" fontId="3" fillId="8" borderId="17" xfId="1" applyFont="1" applyFill="1" applyBorder="1" applyAlignment="1">
      <alignment horizontal="right" vertical="center"/>
    </xf>
    <xf numFmtId="38" fontId="3" fillId="8" borderId="21" xfId="1" applyFont="1" applyFill="1" applyBorder="1" applyAlignment="1">
      <alignment horizontal="right" vertical="center"/>
    </xf>
    <xf numFmtId="38" fontId="8" fillId="3" borderId="17" xfId="1" applyFont="1" applyFill="1" applyBorder="1" applyAlignment="1">
      <alignment horizontal="right" vertical="center"/>
    </xf>
    <xf numFmtId="38" fontId="8" fillId="3" borderId="21" xfId="1" applyFont="1" applyFill="1" applyBorder="1" applyAlignment="1">
      <alignment horizontal="right" vertical="center"/>
    </xf>
    <xf numFmtId="0" fontId="5" fillId="9" borderId="0" xfId="0" applyFont="1" applyFill="1" applyAlignment="1">
      <alignment horizontal="left" vertical="center"/>
    </xf>
    <xf numFmtId="0" fontId="5" fillId="9" borderId="20" xfId="0" applyFont="1" applyFill="1" applyBorder="1" applyAlignment="1">
      <alignment horizontal="left" vertical="center"/>
    </xf>
    <xf numFmtId="0" fontId="3" fillId="9" borderId="19" xfId="0" applyFont="1" applyFill="1" applyBorder="1" applyAlignment="1">
      <alignment horizontal="center" vertical="center"/>
    </xf>
    <xf numFmtId="0" fontId="3" fillId="9" borderId="10" xfId="0" applyFont="1" applyFill="1" applyBorder="1" applyAlignment="1">
      <alignment horizontal="center" vertical="center"/>
    </xf>
    <xf numFmtId="0" fontId="6" fillId="9" borderId="20" xfId="0" applyFont="1" applyFill="1" applyBorder="1" applyAlignment="1">
      <alignment horizontal="left" vertical="center"/>
    </xf>
    <xf numFmtId="0" fontId="6" fillId="9" borderId="0" xfId="0" applyFont="1" applyFill="1" applyAlignment="1">
      <alignment horizontal="left" vertical="center"/>
    </xf>
    <xf numFmtId="0" fontId="4" fillId="9" borderId="32" xfId="0" applyFont="1" applyFill="1" applyBorder="1" applyAlignment="1"/>
    <xf numFmtId="0" fontId="4" fillId="9" borderId="10" xfId="0" applyFont="1" applyFill="1" applyBorder="1" applyAlignment="1"/>
    <xf numFmtId="38" fontId="3" fillId="9" borderId="1" xfId="1" applyFont="1" applyFill="1" applyBorder="1" applyAlignment="1">
      <alignment horizontal="right" vertical="center"/>
    </xf>
    <xf numFmtId="38" fontId="3" fillId="8" borderId="1" xfId="1" applyFont="1" applyFill="1" applyBorder="1" applyAlignment="1">
      <alignment horizontal="right" vertical="center"/>
    </xf>
    <xf numFmtId="38" fontId="8" fillId="3" borderId="1" xfId="1" applyFont="1" applyFill="1" applyBorder="1" applyAlignment="1">
      <alignment horizontal="right" vertical="center"/>
    </xf>
    <xf numFmtId="38" fontId="3" fillId="10" borderId="1" xfId="1" applyFont="1" applyFill="1" applyBorder="1" applyAlignment="1">
      <alignment horizontal="right" vertical="center"/>
    </xf>
    <xf numFmtId="0" fontId="5" fillId="9" borderId="32" xfId="0" applyFont="1" applyFill="1" applyBorder="1" applyAlignment="1">
      <alignment horizontal="center" vertical="center"/>
    </xf>
    <xf numFmtId="0" fontId="5" fillId="9" borderId="42" xfId="0" applyFont="1" applyFill="1" applyBorder="1" applyAlignment="1">
      <alignment horizontal="center" vertical="center"/>
    </xf>
    <xf numFmtId="0" fontId="5" fillId="0" borderId="32"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9" borderId="15" xfId="0" applyFont="1" applyFill="1" applyBorder="1" applyAlignment="1">
      <alignment horizontal="center" vertical="center"/>
    </xf>
    <xf numFmtId="0" fontId="5" fillId="9" borderId="43" xfId="0" applyFont="1" applyFill="1" applyBorder="1" applyAlignment="1">
      <alignment horizontal="center" vertical="center"/>
    </xf>
    <xf numFmtId="0" fontId="3" fillId="9" borderId="3" xfId="0" applyFont="1" applyFill="1" applyBorder="1" applyAlignment="1">
      <alignment horizontal="right" vertical="center"/>
    </xf>
    <xf numFmtId="0" fontId="3" fillId="9" borderId="0" xfId="0" applyFont="1" applyFill="1" applyAlignment="1">
      <alignment horizontal="right" vertical="center"/>
    </xf>
    <xf numFmtId="0" fontId="15" fillId="2" borderId="0" xfId="0" applyFont="1" applyFill="1" applyAlignment="1">
      <alignment vertical="center" wrapText="1"/>
    </xf>
    <xf numFmtId="10" fontId="12" fillId="9" borderId="0" xfId="2" applyNumberFormat="1" applyFont="1" applyFill="1" applyBorder="1" applyAlignment="1" applyProtection="1">
      <alignment horizontal="center" vertical="center" shrinkToFit="1"/>
    </xf>
    <xf numFmtId="10" fontId="12" fillId="9" borderId="39" xfId="2" applyNumberFormat="1" applyFont="1" applyFill="1" applyBorder="1" applyAlignment="1" applyProtection="1">
      <alignment horizontal="center" vertical="center" shrinkToFit="1"/>
    </xf>
    <xf numFmtId="10" fontId="12" fillId="9" borderId="33" xfId="2" applyNumberFormat="1" applyFont="1" applyFill="1" applyBorder="1" applyAlignment="1" applyProtection="1">
      <alignment horizontal="center" vertical="center" shrinkToFit="1"/>
    </xf>
    <xf numFmtId="10" fontId="12" fillId="9" borderId="37" xfId="2" applyNumberFormat="1" applyFont="1" applyFill="1" applyBorder="1" applyAlignment="1" applyProtection="1">
      <alignment horizontal="center" vertical="center" shrinkToFit="1"/>
    </xf>
    <xf numFmtId="0" fontId="5" fillId="9" borderId="18" xfId="0" applyFont="1" applyFill="1" applyBorder="1" applyAlignment="1">
      <alignment horizontal="distributed" vertical="center" wrapText="1" indent="1"/>
    </xf>
    <xf numFmtId="0" fontId="5" fillId="9" borderId="32" xfId="0" applyFont="1" applyFill="1" applyBorder="1" applyAlignment="1">
      <alignment horizontal="distributed" vertical="center" wrapText="1" indent="1"/>
    </xf>
    <xf numFmtId="0" fontId="5" fillId="9" borderId="15" xfId="0" applyFont="1" applyFill="1" applyBorder="1" applyAlignment="1">
      <alignment horizontal="distributed" vertical="center" wrapText="1" indent="1"/>
    </xf>
    <xf numFmtId="0" fontId="5" fillId="9" borderId="19" xfId="0" applyFont="1" applyFill="1" applyBorder="1" applyAlignment="1">
      <alignment horizontal="distributed" vertical="center" wrapText="1" indent="1"/>
    </xf>
    <xf numFmtId="0" fontId="5" fillId="9" borderId="10" xfId="0" applyFont="1" applyFill="1" applyBorder="1" applyAlignment="1">
      <alignment horizontal="distributed" vertical="center" wrapText="1" indent="1"/>
    </xf>
    <xf numFmtId="0" fontId="5" fillId="9" borderId="31" xfId="0" applyFont="1" applyFill="1" applyBorder="1" applyAlignment="1">
      <alignment horizontal="distributed" vertical="center" wrapText="1" indent="1"/>
    </xf>
    <xf numFmtId="0" fontId="4" fillId="9" borderId="18" xfId="0" applyFont="1" applyFill="1" applyBorder="1" applyAlignment="1">
      <alignment horizontal="distributed" vertical="center" wrapText="1" indent="1"/>
    </xf>
    <xf numFmtId="0" fontId="4" fillId="9" borderId="32" xfId="0" applyFont="1" applyFill="1" applyBorder="1" applyAlignment="1">
      <alignment horizontal="distributed" vertical="center" wrapText="1" indent="1"/>
    </xf>
    <xf numFmtId="0" fontId="4" fillId="9" borderId="15" xfId="0" applyFont="1" applyFill="1" applyBorder="1" applyAlignment="1">
      <alignment horizontal="distributed" vertical="center" wrapText="1" indent="1"/>
    </xf>
    <xf numFmtId="0" fontId="4" fillId="9" borderId="19" xfId="0" applyFont="1" applyFill="1" applyBorder="1" applyAlignment="1">
      <alignment horizontal="distributed" vertical="center" wrapText="1" indent="1"/>
    </xf>
    <xf numFmtId="0" fontId="4" fillId="9" borderId="10" xfId="0" applyFont="1" applyFill="1" applyBorder="1" applyAlignment="1">
      <alignment horizontal="distributed" vertical="center" wrapText="1" indent="1"/>
    </xf>
    <xf numFmtId="0" fontId="4" fillId="9" borderId="31" xfId="0" applyFont="1" applyFill="1" applyBorder="1" applyAlignment="1">
      <alignment horizontal="distributed" vertical="center" wrapText="1" indent="1"/>
    </xf>
    <xf numFmtId="0" fontId="5" fillId="5" borderId="17"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center" vertical="center" shrinkToFit="1"/>
      <protection locked="0"/>
    </xf>
    <xf numFmtId="178" fontId="5" fillId="9" borderId="18" xfId="1" applyNumberFormat="1" applyFont="1" applyFill="1" applyBorder="1" applyAlignment="1" applyProtection="1">
      <alignment vertical="center"/>
    </xf>
    <xf numFmtId="178" fontId="5" fillId="9" borderId="32" xfId="1" applyNumberFormat="1" applyFont="1" applyFill="1" applyBorder="1" applyAlignment="1" applyProtection="1">
      <alignment vertical="center"/>
    </xf>
    <xf numFmtId="178" fontId="5" fillId="9" borderId="15" xfId="1" applyNumberFormat="1" applyFont="1" applyFill="1" applyBorder="1" applyAlignment="1" applyProtection="1">
      <alignment vertical="center"/>
    </xf>
    <xf numFmtId="178" fontId="5" fillId="9" borderId="19" xfId="1" applyNumberFormat="1" applyFont="1" applyFill="1" applyBorder="1" applyAlignment="1" applyProtection="1">
      <alignment vertical="center"/>
    </xf>
    <xf numFmtId="178" fontId="5" fillId="9" borderId="10" xfId="1" applyNumberFormat="1" applyFont="1" applyFill="1" applyBorder="1" applyAlignment="1" applyProtection="1">
      <alignment vertical="center"/>
    </xf>
    <xf numFmtId="178" fontId="5" fillId="9" borderId="31" xfId="1" applyNumberFormat="1" applyFont="1" applyFill="1" applyBorder="1" applyAlignment="1" applyProtection="1">
      <alignment vertical="center"/>
    </xf>
    <xf numFmtId="38" fontId="5" fillId="5" borderId="18" xfId="1" applyFont="1" applyFill="1" applyBorder="1" applyAlignment="1" applyProtection="1">
      <alignment vertical="center"/>
      <protection locked="0"/>
    </xf>
    <xf numFmtId="38" fontId="5" fillId="5" borderId="32" xfId="1" applyFont="1" applyFill="1" applyBorder="1" applyAlignment="1" applyProtection="1">
      <alignment vertical="center"/>
      <protection locked="0"/>
    </xf>
    <xf numFmtId="38" fontId="5" fillId="5" borderId="15" xfId="1" applyFont="1" applyFill="1" applyBorder="1" applyAlignment="1" applyProtection="1">
      <alignment vertical="center"/>
      <protection locked="0"/>
    </xf>
    <xf numFmtId="38" fontId="5" fillId="5" borderId="19" xfId="1" applyFont="1" applyFill="1" applyBorder="1" applyAlignment="1" applyProtection="1">
      <alignment vertical="center"/>
      <protection locked="0"/>
    </xf>
    <xf numFmtId="38" fontId="5" fillId="5" borderId="10" xfId="1" applyFont="1" applyFill="1" applyBorder="1" applyAlignment="1" applyProtection="1">
      <alignment vertical="center"/>
      <protection locked="0"/>
    </xf>
    <xf numFmtId="38" fontId="5" fillId="5" borderId="31" xfId="1" applyFont="1" applyFill="1" applyBorder="1" applyAlignment="1" applyProtection="1">
      <alignment vertical="center"/>
      <protection locked="0"/>
    </xf>
    <xf numFmtId="38" fontId="5" fillId="9" borderId="18" xfId="1" applyFont="1" applyFill="1" applyBorder="1" applyAlignment="1" applyProtection="1">
      <alignment vertical="center"/>
    </xf>
    <xf numFmtId="38" fontId="5" fillId="9" borderId="32" xfId="1" applyFont="1" applyFill="1" applyBorder="1" applyAlignment="1" applyProtection="1">
      <alignment vertical="center"/>
    </xf>
    <xf numFmtId="38" fontId="5" fillId="9" borderId="15" xfId="1" applyFont="1" applyFill="1" applyBorder="1" applyAlignment="1" applyProtection="1">
      <alignment vertical="center"/>
    </xf>
    <xf numFmtId="38" fontId="5" fillId="9" borderId="19" xfId="1" applyFont="1" applyFill="1" applyBorder="1" applyAlignment="1" applyProtection="1">
      <alignment vertical="center"/>
    </xf>
    <xf numFmtId="38" fontId="5" fillId="9" borderId="10" xfId="1" applyFont="1" applyFill="1" applyBorder="1" applyAlignment="1" applyProtection="1">
      <alignment vertical="center"/>
    </xf>
    <xf numFmtId="38" fontId="5" fillId="9" borderId="31" xfId="1" applyFont="1" applyFill="1" applyBorder="1" applyAlignment="1" applyProtection="1">
      <alignment vertical="center"/>
    </xf>
    <xf numFmtId="0" fontId="5" fillId="9" borderId="20" xfId="0" applyFont="1" applyFill="1" applyBorder="1">
      <alignment vertical="center"/>
    </xf>
    <xf numFmtId="0" fontId="9" fillId="9" borderId="33" xfId="0" applyFont="1" applyFill="1" applyBorder="1" applyAlignment="1"/>
    <xf numFmtId="0" fontId="25" fillId="9" borderId="3" xfId="0" applyFont="1" applyFill="1" applyBorder="1">
      <alignment vertical="center"/>
    </xf>
    <xf numFmtId="0" fontId="25" fillId="9" borderId="0" xfId="0" applyFont="1" applyFill="1">
      <alignment vertical="center"/>
    </xf>
    <xf numFmtId="0" fontId="5" fillId="5" borderId="18"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9" xfId="0" applyFont="1" applyFill="1" applyBorder="1" applyAlignment="1" applyProtection="1">
      <alignment horizontal="center" vertical="center" shrinkToFit="1"/>
      <protection locked="0"/>
    </xf>
    <xf numFmtId="0" fontId="5" fillId="5" borderId="10" xfId="0" applyFont="1" applyFill="1" applyBorder="1" applyAlignment="1" applyProtection="1">
      <alignment horizontal="center" vertical="center" shrinkToFit="1"/>
      <protection locked="0"/>
    </xf>
    <xf numFmtId="0" fontId="5" fillId="5" borderId="31" xfId="0" applyFont="1" applyFill="1" applyBorder="1" applyAlignment="1" applyProtection="1">
      <alignment horizontal="center" vertical="center" shrinkToFit="1"/>
      <protection locked="0"/>
    </xf>
    <xf numFmtId="38" fontId="5" fillId="9" borderId="1" xfId="1" applyFont="1" applyFill="1" applyBorder="1" applyAlignment="1" applyProtection="1">
      <alignment horizontal="right" vertical="center" indent="1"/>
    </xf>
    <xf numFmtId="38" fontId="5" fillId="9" borderId="21" xfId="1" applyFont="1" applyFill="1" applyBorder="1" applyAlignment="1" applyProtection="1">
      <alignment horizontal="right" vertical="center" indent="1"/>
    </xf>
    <xf numFmtId="38" fontId="9" fillId="9" borderId="17" xfId="0" applyNumberFormat="1" applyFont="1" applyFill="1" applyBorder="1" applyAlignment="1">
      <alignment horizontal="right" vertical="center" indent="1"/>
    </xf>
    <xf numFmtId="38" fontId="9" fillId="9" borderId="1" xfId="0" applyNumberFormat="1" applyFont="1" applyFill="1" applyBorder="1" applyAlignment="1">
      <alignment horizontal="right" vertical="center" indent="1"/>
    </xf>
    <xf numFmtId="0" fontId="5" fillId="9" borderId="17"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distributed" vertical="center" indent="3"/>
    </xf>
    <xf numFmtId="0" fontId="5" fillId="9" borderId="21" xfId="0" applyFont="1" applyFill="1" applyBorder="1" applyAlignment="1">
      <alignment horizontal="distributed" vertical="center" indent="3"/>
    </xf>
    <xf numFmtId="0" fontId="3" fillId="9" borderId="32" xfId="0" applyFont="1" applyFill="1" applyBorder="1" applyAlignment="1">
      <alignment vertical="center" wrapText="1" shrinkToFit="1"/>
    </xf>
    <xf numFmtId="0" fontId="3" fillId="9" borderId="15" xfId="0" applyFont="1" applyFill="1" applyBorder="1" applyAlignment="1">
      <alignment vertical="center" wrapText="1" shrinkToFit="1"/>
    </xf>
    <xf numFmtId="0" fontId="3" fillId="9" borderId="0" xfId="0" applyFont="1" applyFill="1" applyAlignment="1">
      <alignment vertical="center" wrapText="1" shrinkToFit="1"/>
    </xf>
    <xf numFmtId="0" fontId="3" fillId="9" borderId="14" xfId="0" applyFont="1" applyFill="1" applyBorder="1" applyAlignment="1">
      <alignment vertical="center" wrapText="1" shrinkToFit="1"/>
    </xf>
    <xf numFmtId="0" fontId="3" fillId="9" borderId="10" xfId="0" applyFont="1" applyFill="1" applyBorder="1" applyAlignment="1">
      <alignment vertical="center" wrapText="1" shrinkToFit="1"/>
    </xf>
    <xf numFmtId="0" fontId="3" fillId="9" borderId="31" xfId="0" applyFont="1" applyFill="1" applyBorder="1" applyAlignment="1">
      <alignment vertical="center" wrapText="1" shrinkToFit="1"/>
    </xf>
    <xf numFmtId="183" fontId="4" fillId="9" borderId="1" xfId="0" applyNumberFormat="1" applyFont="1" applyFill="1" applyBorder="1" applyAlignment="1">
      <alignment horizontal="center" vertical="center"/>
    </xf>
    <xf numFmtId="0" fontId="5" fillId="9" borderId="14"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31"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19" xfId="0" applyFont="1" applyFill="1" applyBorder="1" applyAlignment="1">
      <alignment horizontal="center" vertical="center"/>
    </xf>
    <xf numFmtId="0" fontId="4" fillId="10" borderId="0" xfId="0" applyFont="1" applyFill="1" applyAlignment="1">
      <alignment horizontal="center" vertical="center"/>
    </xf>
    <xf numFmtId="0" fontId="4" fillId="10" borderId="10" xfId="0" applyFont="1" applyFill="1" applyBorder="1" applyAlignment="1">
      <alignment horizontal="center" vertical="center"/>
    </xf>
    <xf numFmtId="10" fontId="3" fillId="9" borderId="46" xfId="2" applyNumberFormat="1" applyFont="1" applyFill="1" applyBorder="1" applyAlignment="1">
      <alignment horizontal="center" vertical="center"/>
    </xf>
    <xf numFmtId="182" fontId="5" fillId="9" borderId="18" xfId="1" applyNumberFormat="1" applyFont="1" applyFill="1" applyBorder="1" applyAlignment="1" applyProtection="1">
      <alignment horizontal="right" vertical="center" indent="1"/>
    </xf>
    <xf numFmtId="182" fontId="5" fillId="9" borderId="32" xfId="1" applyNumberFormat="1" applyFont="1" applyFill="1" applyBorder="1" applyAlignment="1" applyProtection="1">
      <alignment horizontal="right" vertical="center" indent="1"/>
    </xf>
    <xf numFmtId="182" fontId="5" fillId="9" borderId="15" xfId="1" applyNumberFormat="1" applyFont="1" applyFill="1" applyBorder="1" applyAlignment="1" applyProtection="1">
      <alignment horizontal="right" vertical="center" indent="1"/>
    </xf>
    <xf numFmtId="182" fontId="5" fillId="9" borderId="19" xfId="1" applyNumberFormat="1" applyFont="1" applyFill="1" applyBorder="1" applyAlignment="1" applyProtection="1">
      <alignment horizontal="right" vertical="center" indent="1"/>
    </xf>
    <xf numFmtId="182" fontId="5" fillId="9" borderId="10" xfId="1" applyNumberFormat="1" applyFont="1" applyFill="1" applyBorder="1" applyAlignment="1" applyProtection="1">
      <alignment horizontal="right" vertical="center" indent="1"/>
    </xf>
    <xf numFmtId="182" fontId="5" fillId="9" borderId="31" xfId="1" applyNumberFormat="1" applyFont="1" applyFill="1" applyBorder="1" applyAlignment="1" applyProtection="1">
      <alignment horizontal="right" vertical="center" indent="1"/>
    </xf>
    <xf numFmtId="0" fontId="3" fillId="9" borderId="32" xfId="0" applyFont="1" applyFill="1" applyBorder="1" applyAlignment="1">
      <alignment vertical="center" wrapText="1"/>
    </xf>
    <xf numFmtId="0" fontId="3" fillId="9" borderId="15" xfId="0" applyFont="1" applyFill="1" applyBorder="1" applyAlignment="1">
      <alignment vertical="center" wrapText="1"/>
    </xf>
    <xf numFmtId="0" fontId="3" fillId="9" borderId="0" xfId="0" applyFont="1" applyFill="1" applyAlignment="1">
      <alignment vertical="center" wrapText="1"/>
    </xf>
    <xf numFmtId="0" fontId="3" fillId="9" borderId="14" xfId="0" applyFont="1" applyFill="1" applyBorder="1" applyAlignment="1">
      <alignment vertical="center" wrapText="1"/>
    </xf>
    <xf numFmtId="0" fontId="3" fillId="9" borderId="10" xfId="0" applyFont="1" applyFill="1" applyBorder="1" applyAlignment="1">
      <alignment vertical="center" wrapText="1"/>
    </xf>
    <xf numFmtId="0" fontId="3" fillId="9" borderId="31" xfId="0" applyFont="1" applyFill="1" applyBorder="1" applyAlignment="1">
      <alignment vertical="center" wrapText="1"/>
    </xf>
    <xf numFmtId="0" fontId="10" fillId="9" borderId="35"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6" xfId="0" applyFont="1" applyFill="1" applyBorder="1" applyAlignment="1">
      <alignment horizontal="center" vertical="center"/>
    </xf>
    <xf numFmtId="0" fontId="10" fillId="9" borderId="33" xfId="0" applyFont="1" applyFill="1" applyBorder="1" applyAlignment="1">
      <alignment horizontal="center" vertical="center"/>
    </xf>
    <xf numFmtId="0" fontId="23" fillId="9" borderId="0" xfId="0" applyFont="1" applyFill="1" applyAlignment="1">
      <alignment horizontal="center" vertical="center"/>
    </xf>
    <xf numFmtId="0" fontId="23" fillId="9" borderId="13"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0" xfId="0" applyFont="1" applyFill="1" applyAlignment="1">
      <alignment horizontal="center" vertical="center"/>
    </xf>
    <xf numFmtId="0" fontId="31" fillId="9" borderId="10" xfId="3" applyFont="1" applyFill="1" applyBorder="1" applyAlignment="1" applyProtection="1">
      <alignment horizontal="center" vertical="center" wrapText="1" shrinkToFit="1"/>
      <protection locked="0"/>
    </xf>
    <xf numFmtId="0" fontId="31" fillId="9" borderId="31" xfId="3" applyFont="1" applyFill="1" applyBorder="1" applyAlignment="1" applyProtection="1">
      <alignment horizontal="center" vertical="center" wrapText="1" shrinkToFit="1"/>
      <protection locked="0"/>
    </xf>
    <xf numFmtId="179" fontId="5" fillId="0" borderId="18" xfId="0" applyNumberFormat="1" applyFont="1" applyBorder="1" applyAlignment="1" applyProtection="1">
      <alignment horizontal="center" vertical="center" shrinkToFit="1"/>
      <protection locked="0"/>
    </xf>
    <xf numFmtId="179" fontId="5" fillId="0" borderId="32" xfId="0" applyNumberFormat="1" applyFont="1" applyBorder="1" applyAlignment="1" applyProtection="1">
      <alignment horizontal="center" vertical="center" shrinkToFit="1"/>
      <protection locked="0"/>
    </xf>
    <xf numFmtId="179" fontId="5" fillId="0" borderId="44" xfId="0" applyNumberFormat="1" applyFont="1" applyBorder="1" applyAlignment="1" applyProtection="1">
      <alignment horizontal="center" vertical="center" shrinkToFit="1"/>
      <protection locked="0"/>
    </xf>
    <xf numFmtId="179" fontId="5" fillId="0" borderId="42" xfId="0" applyNumberFormat="1" applyFont="1" applyBorder="1" applyAlignment="1" applyProtection="1">
      <alignment horizontal="center" vertical="center" shrinkToFit="1"/>
      <protection locked="0"/>
    </xf>
    <xf numFmtId="0" fontId="4" fillId="8" borderId="32"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0" xfId="0" applyFont="1" applyFill="1" applyAlignment="1">
      <alignment horizontal="center" vertical="center"/>
    </xf>
    <xf numFmtId="0" fontId="4" fillId="8" borderId="14"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31"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1"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16" xfId="0" applyFont="1" applyFill="1" applyBorder="1" applyAlignment="1">
      <alignment horizontal="center" vertical="center"/>
    </xf>
    <xf numFmtId="0" fontId="17" fillId="10" borderId="1" xfId="0" applyFont="1" applyFill="1" applyBorder="1" applyAlignment="1">
      <alignment horizontal="center" vertical="top" wrapText="1"/>
    </xf>
    <xf numFmtId="0" fontId="4" fillId="9" borderId="17" xfId="0" applyFont="1" applyFill="1" applyBorder="1" applyAlignment="1">
      <alignment horizontal="distributed" vertical="center" indent="1"/>
    </xf>
    <xf numFmtId="0" fontId="4" fillId="9" borderId="1" xfId="0" applyFont="1" applyFill="1" applyBorder="1" applyAlignment="1">
      <alignment horizontal="distributed" vertical="center" indent="1"/>
    </xf>
    <xf numFmtId="0" fontId="5" fillId="9" borderId="40" xfId="0" applyFont="1" applyFill="1" applyBorder="1" applyAlignment="1">
      <alignment horizontal="distributed" vertical="center" indent="1"/>
    </xf>
    <xf numFmtId="0" fontId="5" fillId="9" borderId="0" xfId="0" applyFont="1" applyFill="1" applyAlignment="1">
      <alignment horizontal="distributed" vertical="center" indent="1"/>
    </xf>
    <xf numFmtId="0" fontId="5" fillId="9" borderId="36" xfId="0" applyFont="1" applyFill="1" applyBorder="1" applyAlignment="1">
      <alignment horizontal="distributed" vertical="center" indent="1"/>
    </xf>
    <xf numFmtId="0" fontId="5" fillId="9" borderId="33" xfId="0" applyFont="1" applyFill="1" applyBorder="1" applyAlignment="1">
      <alignment horizontal="distributed" vertical="center" indent="1"/>
    </xf>
    <xf numFmtId="0" fontId="7" fillId="9" borderId="0" xfId="0" applyFont="1" applyFill="1" applyAlignment="1"/>
    <xf numFmtId="0" fontId="17" fillId="8"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5" fillId="9" borderId="18"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10" fontId="12" fillId="9" borderId="29" xfId="2" applyNumberFormat="1" applyFont="1" applyFill="1" applyBorder="1" applyAlignment="1" applyProtection="1">
      <alignment horizontal="center" vertical="center" wrapText="1"/>
    </xf>
    <xf numFmtId="10" fontId="12" fillId="9" borderId="25" xfId="2" applyNumberFormat="1" applyFont="1" applyFill="1" applyBorder="1" applyAlignment="1" applyProtection="1">
      <alignment horizontal="center" vertical="center" wrapText="1"/>
    </xf>
    <xf numFmtId="10" fontId="12" fillId="9" borderId="33" xfId="2" applyNumberFormat="1" applyFont="1" applyFill="1" applyBorder="1" applyAlignment="1" applyProtection="1">
      <alignment horizontal="center" vertical="center" wrapText="1"/>
    </xf>
    <xf numFmtId="10" fontId="12" fillId="9" borderId="37" xfId="2" applyNumberFormat="1" applyFont="1" applyFill="1" applyBorder="1" applyAlignment="1" applyProtection="1">
      <alignment horizontal="center" vertical="center" wrapText="1"/>
    </xf>
    <xf numFmtId="0" fontId="7" fillId="9" borderId="0" xfId="0" applyFont="1" applyFill="1" applyAlignment="1">
      <alignment horizontal="center" vertical="top"/>
    </xf>
    <xf numFmtId="0" fontId="7" fillId="9" borderId="14" xfId="0" applyFont="1" applyFill="1" applyBorder="1" applyAlignment="1">
      <alignment horizontal="center" vertical="top"/>
    </xf>
    <xf numFmtId="0" fontId="7" fillId="9" borderId="10" xfId="0" applyFont="1" applyFill="1" applyBorder="1" applyAlignment="1">
      <alignment horizontal="center" vertical="top"/>
    </xf>
    <xf numFmtId="0" fontId="7" fillId="9" borderId="31" xfId="0" applyFont="1" applyFill="1" applyBorder="1" applyAlignment="1">
      <alignment horizontal="center" vertical="top"/>
    </xf>
    <xf numFmtId="10" fontId="3" fillId="9" borderId="17" xfId="2" applyNumberFormat="1" applyFont="1" applyFill="1" applyBorder="1" applyAlignment="1">
      <alignment horizontal="center" vertical="center"/>
    </xf>
    <xf numFmtId="10" fontId="4" fillId="0" borderId="11" xfId="2" applyNumberFormat="1" applyFont="1" applyFill="1" applyBorder="1" applyAlignment="1">
      <alignment horizontal="center" vertical="center"/>
    </xf>
    <xf numFmtId="10" fontId="4" fillId="0" borderId="12" xfId="2" applyNumberFormat="1" applyFont="1" applyFill="1" applyBorder="1" applyAlignment="1">
      <alignment horizontal="center" vertical="center"/>
    </xf>
    <xf numFmtId="0" fontId="4" fillId="0" borderId="1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shrinkToFit="1"/>
    </xf>
    <xf numFmtId="0" fontId="4" fillId="0" borderId="10" xfId="0" applyFont="1" applyBorder="1" applyAlignment="1">
      <alignment horizontal="center" vertical="center" shrinkToFit="1"/>
    </xf>
    <xf numFmtId="180" fontId="3" fillId="0" borderId="20" xfId="0" applyNumberFormat="1" applyFont="1" applyBorder="1" applyAlignment="1">
      <alignment horizontal="left" vertical="center"/>
    </xf>
    <xf numFmtId="180" fontId="3" fillId="0" borderId="0" xfId="0" applyNumberFormat="1" applyFont="1" applyAlignment="1">
      <alignment horizontal="left" vertical="center"/>
    </xf>
    <xf numFmtId="0" fontId="3" fillId="0" borderId="49" xfId="0" applyFont="1" applyBorder="1" applyAlignment="1">
      <alignment horizontal="center" vertical="center"/>
    </xf>
    <xf numFmtId="14" fontId="4" fillId="0" borderId="16" xfId="0" applyNumberFormat="1" applyFont="1" applyBorder="1" applyAlignment="1">
      <alignment horizontal="center" vertical="center"/>
    </xf>
    <xf numFmtId="0" fontId="4" fillId="0" borderId="5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1">
    <dxf>
      <fill>
        <patternFill>
          <bgColor theme="9" tint="0.79998168889431442"/>
        </patternFill>
      </fill>
    </dxf>
  </dxfs>
  <tableStyles count="0" defaultTableStyle="TableStyleMedium2" defaultPivotStyle="PivotStyleLight16"/>
  <colors>
    <mruColors>
      <color rgb="FFCCFFFF"/>
      <color rgb="FF66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89545</xdr:colOff>
      <xdr:row>44</xdr:row>
      <xdr:rowOff>34458</xdr:rowOff>
    </xdr:from>
    <xdr:to>
      <xdr:col>33</xdr:col>
      <xdr:colOff>138588</xdr:colOff>
      <xdr:row>46</xdr:row>
      <xdr:rowOff>157444</xdr:rowOff>
    </xdr:to>
    <xdr:pic>
      <xdr:nvPicPr>
        <xdr:cNvPr id="11" name="図 10">
          <a:extLst>
            <a:ext uri="{FF2B5EF4-FFF2-40B4-BE49-F238E27FC236}">
              <a16:creationId xmlns:a16="http://schemas.microsoft.com/office/drawing/2014/main" id="{6811DB29-E710-D18B-0F94-27D577BF51AB}"/>
            </a:ext>
          </a:extLst>
        </xdr:cNvPr>
        <xdr:cNvPicPr>
          <a:picLocks noChangeAspect="1"/>
        </xdr:cNvPicPr>
      </xdr:nvPicPr>
      <xdr:blipFill>
        <a:blip xmlns:r="http://schemas.openxmlformats.org/officeDocument/2006/relationships" r:embed="rId1"/>
        <a:stretch>
          <a:fillRect/>
        </a:stretch>
      </xdr:blipFill>
      <xdr:spPr>
        <a:xfrm>
          <a:off x="8975810" y="7968223"/>
          <a:ext cx="651671" cy="503986"/>
        </a:xfrm>
        <a:prstGeom prst="rect">
          <a:avLst/>
        </a:prstGeom>
      </xdr:spPr>
    </xdr:pic>
    <xdr:clientData/>
  </xdr:twoCellAnchor>
  <xdr:twoCellAnchor>
    <xdr:from>
      <xdr:col>33</xdr:col>
      <xdr:colOff>201084</xdr:colOff>
      <xdr:row>43</xdr:row>
      <xdr:rowOff>105834</xdr:rowOff>
    </xdr:from>
    <xdr:to>
      <xdr:col>43</xdr:col>
      <xdr:colOff>285751</xdr:colOff>
      <xdr:row>47</xdr:row>
      <xdr:rowOff>95250</xdr:rowOff>
    </xdr:to>
    <xdr:sp macro="" textlink="">
      <xdr:nvSpPr>
        <xdr:cNvPr id="12" name="テキスト ボックス 11">
          <a:extLst>
            <a:ext uri="{FF2B5EF4-FFF2-40B4-BE49-F238E27FC236}">
              <a16:creationId xmlns:a16="http://schemas.microsoft.com/office/drawing/2014/main" id="{374C691C-1645-0353-D774-F67F6B7F5696}"/>
            </a:ext>
          </a:extLst>
        </xdr:cNvPr>
        <xdr:cNvSpPr txBox="1"/>
      </xdr:nvSpPr>
      <xdr:spPr>
        <a:xfrm>
          <a:off x="9980084" y="8255001"/>
          <a:ext cx="3048000"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一般社団法人石川県鉄工機電協会</a:t>
          </a:r>
          <a:endParaRPr kumimoji="1" lang="en-US" altLang="ja-JP" sz="1200" b="1">
            <a:latin typeface="HG丸ｺﾞｼｯｸM-PRO" panose="020F0600000000000000" pitchFamily="50" charset="-128"/>
            <a:ea typeface="HG丸ｺﾞｼｯｸM-PRO" panose="020F0600000000000000" pitchFamily="50" charset="-128"/>
          </a:endParaRPr>
        </a:p>
        <a:p>
          <a:pPr algn="ctr"/>
          <a:r>
            <a:rPr kumimoji="1" lang="ja-JP" altLang="en-US" sz="1200" b="1"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（担当：設備支援課）</a:t>
          </a:r>
          <a:endParaRPr kumimoji="1" lang="en-US" altLang="ja-JP" sz="1200" b="1">
            <a:latin typeface="HG丸ｺﾞｼｯｸM-PRO" panose="020F0600000000000000" pitchFamily="50" charset="-128"/>
            <a:ea typeface="HG丸ｺﾞｼｯｸM-PRO" panose="020F0600000000000000" pitchFamily="50" charset="-128"/>
          </a:endParaRPr>
        </a:p>
        <a:p>
          <a:r>
            <a:rPr kumimoji="1" lang="ja-JP" altLang="en-US" sz="1200" b="1">
              <a:latin typeface="HG丸ｺﾞｼｯｸM-PRO" panose="020F0600000000000000" pitchFamily="50" charset="-128"/>
              <a:ea typeface="HG丸ｺﾞｼｯｸM-PRO" panose="020F0600000000000000" pitchFamily="50" charset="-128"/>
            </a:rPr>
            <a:t>ＴＥＬ：</a:t>
          </a:r>
          <a:r>
            <a:rPr kumimoji="1" lang="en-US" altLang="ja-JP" sz="1200" b="1">
              <a:latin typeface="HG丸ｺﾞｼｯｸM-PRO" panose="020F0600000000000000" pitchFamily="50" charset="-128"/>
              <a:ea typeface="HG丸ｺﾞｼｯｸM-PRO" panose="020F0600000000000000" pitchFamily="50" charset="-128"/>
            </a:rPr>
            <a:t>076 - 268 - 0121</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ishikawa.lg.jp/kinyuu/kinyuu/keieikakushin.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C046-A2A2-4839-8EFF-EB865F4AE5F7}">
  <sheetPr>
    <tabColor rgb="FFFF0000"/>
    <pageSetUpPr fitToPage="1"/>
  </sheetPr>
  <dimension ref="A1:AR61"/>
  <sheetViews>
    <sheetView tabSelected="1" view="pageBreakPreview" zoomScale="90" zoomScaleNormal="80" zoomScaleSheetLayoutView="90" workbookViewId="0">
      <selection activeCell="I8" sqref="I8:N9"/>
    </sheetView>
  </sheetViews>
  <sheetFormatPr defaultRowHeight="13.5" x14ac:dyDescent="0.4"/>
  <cols>
    <col min="1" max="44" width="3.875" style="9" customWidth="1"/>
    <col min="45" max="16384" width="9" style="9"/>
  </cols>
  <sheetData>
    <row r="1" spans="1:44" ht="12" customHeight="1" thickTop="1" x14ac:dyDescent="0.4">
      <c r="A1" s="11"/>
      <c r="B1" s="218" t="s">
        <v>0</v>
      </c>
      <c r="C1" s="218"/>
      <c r="D1" s="218"/>
      <c r="E1" s="218"/>
      <c r="F1" s="218"/>
      <c r="G1" s="218"/>
      <c r="H1" s="218"/>
      <c r="I1" s="218"/>
      <c r="J1" s="218"/>
      <c r="K1" s="218"/>
      <c r="L1" s="218"/>
      <c r="M1" s="218"/>
      <c r="N1" s="218"/>
      <c r="O1" s="218"/>
      <c r="P1" s="218"/>
      <c r="Q1" s="218"/>
      <c r="R1" s="218"/>
      <c r="S1" s="218"/>
      <c r="T1" s="218"/>
      <c r="U1" s="218"/>
      <c r="V1" s="218"/>
      <c r="W1" s="218"/>
      <c r="X1" s="218"/>
      <c r="Y1" s="218"/>
      <c r="Z1" s="12"/>
      <c r="AA1" s="12"/>
      <c r="AB1" s="12"/>
      <c r="AC1" s="12"/>
      <c r="AD1" s="12"/>
      <c r="AE1" s="12"/>
      <c r="AF1" s="12"/>
      <c r="AG1" s="12"/>
      <c r="AH1" s="12"/>
      <c r="AI1" s="12"/>
      <c r="AJ1" s="12"/>
      <c r="AK1" s="12"/>
      <c r="AL1" s="12"/>
      <c r="AM1" s="177" t="s">
        <v>76</v>
      </c>
      <c r="AN1" s="177"/>
      <c r="AO1" s="177"/>
      <c r="AP1" s="177"/>
      <c r="AQ1" s="177"/>
      <c r="AR1" s="21"/>
    </row>
    <row r="2" spans="1:44" ht="15" customHeight="1" x14ac:dyDescent="0.4">
      <c r="A2" s="13"/>
      <c r="B2" s="219"/>
      <c r="C2" s="219"/>
      <c r="D2" s="219"/>
      <c r="E2" s="219"/>
      <c r="F2" s="219"/>
      <c r="G2" s="219"/>
      <c r="H2" s="219"/>
      <c r="I2" s="219"/>
      <c r="J2" s="219"/>
      <c r="K2" s="219"/>
      <c r="L2" s="219"/>
      <c r="M2" s="219"/>
      <c r="N2" s="219"/>
      <c r="O2" s="219"/>
      <c r="P2" s="219"/>
      <c r="Q2" s="219"/>
      <c r="R2" s="219"/>
      <c r="S2" s="219"/>
      <c r="T2" s="219"/>
      <c r="U2" s="219"/>
      <c r="V2" s="219"/>
      <c r="W2" s="219"/>
      <c r="X2" s="219"/>
      <c r="Y2" s="219"/>
      <c r="Z2" s="14"/>
      <c r="AA2" s="14"/>
      <c r="AB2" s="14"/>
      <c r="AC2" s="14"/>
      <c r="AD2" s="14"/>
      <c r="AE2" s="14"/>
      <c r="AF2" s="14"/>
      <c r="AG2" s="14"/>
      <c r="AH2" s="14"/>
      <c r="AI2" s="14"/>
      <c r="AJ2" s="14"/>
      <c r="AK2" s="31"/>
      <c r="AL2" s="31"/>
      <c r="AM2" s="178"/>
      <c r="AN2" s="178"/>
      <c r="AO2" s="178"/>
      <c r="AP2" s="178"/>
      <c r="AQ2" s="178"/>
      <c r="AR2" s="20"/>
    </row>
    <row r="3" spans="1:44" ht="15" customHeight="1" x14ac:dyDescent="0.4">
      <c r="A3" s="13"/>
      <c r="B3" s="219"/>
      <c r="C3" s="219"/>
      <c r="D3" s="219"/>
      <c r="E3" s="219"/>
      <c r="F3" s="219"/>
      <c r="G3" s="219"/>
      <c r="H3" s="219"/>
      <c r="I3" s="219"/>
      <c r="J3" s="219"/>
      <c r="K3" s="219"/>
      <c r="L3" s="219"/>
      <c r="M3" s="219"/>
      <c r="N3" s="219"/>
      <c r="O3" s="219"/>
      <c r="P3" s="219"/>
      <c r="Q3" s="219"/>
      <c r="R3" s="219"/>
      <c r="S3" s="219"/>
      <c r="T3" s="219"/>
      <c r="U3" s="219"/>
      <c r="V3" s="219"/>
      <c r="W3" s="219"/>
      <c r="X3" s="219"/>
      <c r="Y3" s="219"/>
      <c r="Z3" s="14"/>
      <c r="AA3" s="179" t="s">
        <v>110</v>
      </c>
      <c r="AB3" s="179"/>
      <c r="AC3" s="179"/>
      <c r="AD3" s="179"/>
      <c r="AE3" s="179"/>
      <c r="AF3" s="179"/>
      <c r="AG3" s="179"/>
      <c r="AH3" s="179"/>
      <c r="AI3" s="179"/>
      <c r="AJ3" s="179"/>
      <c r="AK3" s="179"/>
      <c r="AL3" s="179"/>
      <c r="AM3" s="179"/>
      <c r="AN3" s="179"/>
      <c r="AO3" s="179"/>
      <c r="AP3" s="179"/>
      <c r="AQ3" s="179"/>
      <c r="AR3" s="20"/>
    </row>
    <row r="4" spans="1:44" ht="15" customHeight="1" x14ac:dyDescent="0.4">
      <c r="A4" s="13"/>
      <c r="B4" s="299" t="s">
        <v>75</v>
      </c>
      <c r="C4" s="299"/>
      <c r="D4" s="299"/>
      <c r="E4" s="299"/>
      <c r="F4" s="299"/>
      <c r="G4" s="299"/>
      <c r="H4" s="299"/>
      <c r="I4" s="299"/>
      <c r="J4" s="299"/>
      <c r="K4" s="299"/>
      <c r="L4" s="299"/>
      <c r="M4" s="299"/>
      <c r="N4" s="299"/>
      <c r="O4" s="299"/>
      <c r="P4" s="299"/>
      <c r="Q4" s="299"/>
      <c r="R4" s="299"/>
      <c r="S4" s="299"/>
      <c r="T4" s="299"/>
      <c r="U4" s="299"/>
      <c r="V4" s="299"/>
      <c r="W4" s="299"/>
      <c r="X4" s="299"/>
      <c r="Y4" s="299"/>
      <c r="Z4" s="299"/>
      <c r="AA4" s="179"/>
      <c r="AB4" s="179"/>
      <c r="AC4" s="179"/>
      <c r="AD4" s="179"/>
      <c r="AE4" s="179"/>
      <c r="AF4" s="179"/>
      <c r="AG4" s="179"/>
      <c r="AH4" s="179"/>
      <c r="AI4" s="179"/>
      <c r="AJ4" s="179"/>
      <c r="AK4" s="179"/>
      <c r="AL4" s="179"/>
      <c r="AM4" s="179"/>
      <c r="AN4" s="179"/>
      <c r="AO4" s="179"/>
      <c r="AP4" s="179"/>
      <c r="AQ4" s="179"/>
      <c r="AR4" s="20"/>
    </row>
    <row r="5" spans="1:44" ht="15" customHeight="1" x14ac:dyDescent="0.4">
      <c r="A5" s="13"/>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179"/>
      <c r="AB5" s="179"/>
      <c r="AC5" s="179"/>
      <c r="AD5" s="179"/>
      <c r="AE5" s="179"/>
      <c r="AF5" s="179"/>
      <c r="AG5" s="179"/>
      <c r="AH5" s="179"/>
      <c r="AI5" s="179"/>
      <c r="AJ5" s="179"/>
      <c r="AK5" s="179"/>
      <c r="AL5" s="179"/>
      <c r="AM5" s="179"/>
      <c r="AN5" s="179"/>
      <c r="AO5" s="179"/>
      <c r="AP5" s="179"/>
      <c r="AQ5" s="179"/>
      <c r="AR5" s="20"/>
    </row>
    <row r="6" spans="1:44" ht="15" customHeight="1" x14ac:dyDescent="0.4">
      <c r="A6" s="13"/>
      <c r="B6" s="133" t="s">
        <v>66</v>
      </c>
      <c r="C6" s="133"/>
      <c r="D6" s="133"/>
      <c r="E6" s="133"/>
      <c r="F6" s="133"/>
      <c r="G6" s="133"/>
      <c r="H6" s="133"/>
      <c r="I6" s="133"/>
      <c r="J6" s="133"/>
      <c r="K6" s="133"/>
      <c r="L6" s="133"/>
      <c r="M6" s="133"/>
      <c r="N6" s="133"/>
      <c r="O6" s="14"/>
      <c r="P6" s="14"/>
      <c r="Q6" s="133" t="s">
        <v>59</v>
      </c>
      <c r="R6" s="133"/>
      <c r="S6" s="133"/>
      <c r="T6" s="133"/>
      <c r="U6" s="133"/>
      <c r="V6" s="133"/>
      <c r="W6" s="133"/>
      <c r="X6" s="133"/>
      <c r="Y6" s="133"/>
      <c r="Z6" s="133"/>
      <c r="AA6" s="179"/>
      <c r="AB6" s="179"/>
      <c r="AC6" s="179"/>
      <c r="AD6" s="179"/>
      <c r="AE6" s="179"/>
      <c r="AF6" s="179"/>
      <c r="AG6" s="179"/>
      <c r="AH6" s="179"/>
      <c r="AI6" s="179"/>
      <c r="AJ6" s="179"/>
      <c r="AK6" s="179"/>
      <c r="AL6" s="179"/>
      <c r="AM6" s="179"/>
      <c r="AN6" s="179"/>
      <c r="AO6" s="179"/>
      <c r="AP6" s="179"/>
      <c r="AQ6" s="179"/>
      <c r="AR6" s="20"/>
    </row>
    <row r="7" spans="1:44" ht="15" customHeight="1" x14ac:dyDescent="0.2">
      <c r="A7" s="13"/>
      <c r="B7" s="134"/>
      <c r="C7" s="134"/>
      <c r="D7" s="134"/>
      <c r="E7" s="134"/>
      <c r="F7" s="134"/>
      <c r="G7" s="134"/>
      <c r="H7" s="134"/>
      <c r="I7" s="134"/>
      <c r="J7" s="134"/>
      <c r="K7" s="134"/>
      <c r="L7" s="134"/>
      <c r="M7" s="134"/>
      <c r="N7" s="134"/>
      <c r="O7" s="14"/>
      <c r="P7" s="14"/>
      <c r="Q7" s="134"/>
      <c r="R7" s="134"/>
      <c r="S7" s="134"/>
      <c r="T7" s="134"/>
      <c r="U7" s="134"/>
      <c r="V7" s="134"/>
      <c r="W7" s="134"/>
      <c r="X7" s="134"/>
      <c r="Y7" s="134"/>
      <c r="Z7" s="134"/>
      <c r="AA7" s="15"/>
      <c r="AB7" s="15"/>
      <c r="AC7" s="15"/>
      <c r="AD7" s="14"/>
      <c r="AE7" s="14"/>
      <c r="AF7" s="14"/>
      <c r="AG7" s="14"/>
      <c r="AH7" s="14"/>
      <c r="AI7" s="14"/>
      <c r="AJ7" s="14"/>
      <c r="AK7" s="14"/>
      <c r="AL7" s="14"/>
      <c r="AM7" s="14"/>
      <c r="AN7" s="14"/>
      <c r="AO7" s="14"/>
      <c r="AP7" s="14"/>
      <c r="AQ7" s="14"/>
      <c r="AR7" s="20"/>
    </row>
    <row r="8" spans="1:44" ht="15" customHeight="1" x14ac:dyDescent="0.4">
      <c r="A8" s="13"/>
      <c r="B8" s="184" t="s">
        <v>71</v>
      </c>
      <c r="C8" s="185"/>
      <c r="D8" s="185"/>
      <c r="E8" s="185"/>
      <c r="F8" s="185"/>
      <c r="G8" s="185"/>
      <c r="H8" s="186"/>
      <c r="I8" s="204"/>
      <c r="J8" s="205"/>
      <c r="K8" s="205"/>
      <c r="L8" s="205"/>
      <c r="M8" s="205"/>
      <c r="N8" s="206"/>
      <c r="O8" s="216" t="s">
        <v>25</v>
      </c>
      <c r="P8" s="14"/>
      <c r="Q8" s="135" t="s">
        <v>28</v>
      </c>
      <c r="R8" s="136"/>
      <c r="S8" s="234" t="s">
        <v>26</v>
      </c>
      <c r="T8" s="234"/>
      <c r="U8" s="234"/>
      <c r="V8" s="234"/>
      <c r="W8" s="234"/>
      <c r="X8" s="234"/>
      <c r="Y8" s="234"/>
      <c r="Z8" s="234"/>
      <c r="AA8" s="234"/>
      <c r="AB8" s="234"/>
      <c r="AC8" s="235"/>
      <c r="AD8" s="220" t="s">
        <v>106</v>
      </c>
      <c r="AE8" s="221"/>
      <c r="AF8" s="221"/>
      <c r="AG8" s="222"/>
      <c r="AH8" s="14"/>
      <c r="AI8" s="14"/>
      <c r="AJ8" s="14"/>
      <c r="AK8" s="14"/>
      <c r="AL8" s="14"/>
      <c r="AM8" s="14"/>
      <c r="AN8" s="14"/>
      <c r="AO8" s="14"/>
      <c r="AP8" s="14"/>
      <c r="AQ8" s="14"/>
      <c r="AR8" s="20"/>
    </row>
    <row r="9" spans="1:44" ht="15" customHeight="1" x14ac:dyDescent="0.4">
      <c r="A9" s="13"/>
      <c r="B9" s="187"/>
      <c r="C9" s="188"/>
      <c r="D9" s="188"/>
      <c r="E9" s="188"/>
      <c r="F9" s="188"/>
      <c r="G9" s="188"/>
      <c r="H9" s="189"/>
      <c r="I9" s="207"/>
      <c r="J9" s="208"/>
      <c r="K9" s="208"/>
      <c r="L9" s="208"/>
      <c r="M9" s="208"/>
      <c r="N9" s="209"/>
      <c r="O9" s="216"/>
      <c r="P9" s="14"/>
      <c r="Q9" s="161"/>
      <c r="R9" s="162"/>
      <c r="S9" s="238"/>
      <c r="T9" s="238"/>
      <c r="U9" s="238"/>
      <c r="V9" s="238"/>
      <c r="W9" s="238"/>
      <c r="X9" s="238"/>
      <c r="Y9" s="238"/>
      <c r="Z9" s="238"/>
      <c r="AA9" s="238"/>
      <c r="AB9" s="238"/>
      <c r="AC9" s="239"/>
      <c r="AD9" s="223"/>
      <c r="AE9" s="224"/>
      <c r="AF9" s="224"/>
      <c r="AG9" s="225"/>
      <c r="AH9" s="14"/>
      <c r="AI9" s="14"/>
      <c r="AJ9" s="14"/>
      <c r="AK9" s="14"/>
      <c r="AL9" s="14"/>
      <c r="AM9" s="14"/>
      <c r="AN9" s="14"/>
      <c r="AO9" s="14"/>
      <c r="AP9" s="14"/>
      <c r="AQ9" s="14"/>
      <c r="AR9" s="20"/>
    </row>
    <row r="10" spans="1:44" ht="15" customHeight="1" x14ac:dyDescent="0.4">
      <c r="A10" s="13"/>
      <c r="B10" s="190" t="s">
        <v>65</v>
      </c>
      <c r="C10" s="191"/>
      <c r="D10" s="191"/>
      <c r="E10" s="191"/>
      <c r="F10" s="191"/>
      <c r="G10" s="191"/>
      <c r="H10" s="192"/>
      <c r="I10" s="210" t="str">
        <f>IF(I8="","",IF(I8&lt;=60000000,0,I8-60000000))</f>
        <v/>
      </c>
      <c r="J10" s="211"/>
      <c r="K10" s="211"/>
      <c r="L10" s="211"/>
      <c r="M10" s="211"/>
      <c r="N10" s="212"/>
      <c r="O10" s="216" t="s">
        <v>25</v>
      </c>
      <c r="P10" s="14"/>
      <c r="Q10" s="135" t="s">
        <v>29</v>
      </c>
      <c r="R10" s="136"/>
      <c r="S10" s="234" t="s">
        <v>27</v>
      </c>
      <c r="T10" s="234"/>
      <c r="U10" s="234"/>
      <c r="V10" s="234"/>
      <c r="W10" s="234"/>
      <c r="X10" s="234"/>
      <c r="Y10" s="234"/>
      <c r="Z10" s="234"/>
      <c r="AA10" s="234"/>
      <c r="AB10" s="234"/>
      <c r="AC10" s="235"/>
      <c r="AD10" s="197" t="s">
        <v>106</v>
      </c>
      <c r="AE10" s="197"/>
      <c r="AF10" s="197"/>
      <c r="AG10" s="197"/>
      <c r="AH10" s="14"/>
      <c r="AI10" s="14"/>
      <c r="AJ10" s="14"/>
      <c r="AK10" s="14"/>
      <c r="AL10" s="14"/>
      <c r="AM10" s="82"/>
      <c r="AN10" s="14"/>
      <c r="AO10" s="14"/>
      <c r="AP10" s="14"/>
      <c r="AQ10" s="14"/>
      <c r="AR10" s="20"/>
    </row>
    <row r="11" spans="1:44" ht="15" customHeight="1" x14ac:dyDescent="0.4">
      <c r="A11" s="13"/>
      <c r="B11" s="193"/>
      <c r="C11" s="194"/>
      <c r="D11" s="194"/>
      <c r="E11" s="194"/>
      <c r="F11" s="194"/>
      <c r="G11" s="194"/>
      <c r="H11" s="195"/>
      <c r="I11" s="213"/>
      <c r="J11" s="214"/>
      <c r="K11" s="214"/>
      <c r="L11" s="214"/>
      <c r="M11" s="214"/>
      <c r="N11" s="215"/>
      <c r="O11" s="216"/>
      <c r="P11" s="14"/>
      <c r="Q11" s="268"/>
      <c r="R11" s="269"/>
      <c r="S11" s="236"/>
      <c r="T11" s="236"/>
      <c r="U11" s="236"/>
      <c r="V11" s="236"/>
      <c r="W11" s="236"/>
      <c r="X11" s="236"/>
      <c r="Y11" s="236"/>
      <c r="Z11" s="236"/>
      <c r="AA11" s="236"/>
      <c r="AB11" s="236"/>
      <c r="AC11" s="237"/>
      <c r="AD11" s="197"/>
      <c r="AE11" s="197"/>
      <c r="AF11" s="197"/>
      <c r="AG11" s="197"/>
      <c r="AH11" s="14"/>
      <c r="AI11" s="14"/>
      <c r="AJ11" s="14"/>
      <c r="AK11" s="14"/>
      <c r="AL11" s="14"/>
      <c r="AM11" s="14"/>
      <c r="AN11" s="14"/>
      <c r="AO11" s="14"/>
      <c r="AP11" s="14"/>
      <c r="AQ11" s="14"/>
      <c r="AR11" s="20"/>
    </row>
    <row r="12" spans="1:44" ht="15" customHeight="1" x14ac:dyDescent="0.4">
      <c r="A12" s="13"/>
      <c r="B12" s="184" t="s">
        <v>58</v>
      </c>
      <c r="C12" s="185"/>
      <c r="D12" s="185"/>
      <c r="E12" s="185"/>
      <c r="F12" s="185"/>
      <c r="G12" s="185"/>
      <c r="H12" s="186"/>
      <c r="I12" s="204"/>
      <c r="J12" s="205"/>
      <c r="K12" s="205"/>
      <c r="L12" s="205"/>
      <c r="M12" s="205"/>
      <c r="N12" s="206"/>
      <c r="O12" s="216" t="s">
        <v>25</v>
      </c>
      <c r="P12" s="14"/>
      <c r="Q12" s="161"/>
      <c r="R12" s="162"/>
      <c r="S12" s="270" t="s">
        <v>111</v>
      </c>
      <c r="T12" s="270"/>
      <c r="U12" s="270"/>
      <c r="V12" s="270"/>
      <c r="W12" s="270"/>
      <c r="X12" s="270"/>
      <c r="Y12" s="270"/>
      <c r="Z12" s="270"/>
      <c r="AA12" s="270"/>
      <c r="AB12" s="270"/>
      <c r="AC12" s="271"/>
      <c r="AD12" s="197"/>
      <c r="AE12" s="197"/>
      <c r="AF12" s="197"/>
      <c r="AG12" s="197"/>
      <c r="AH12" s="14"/>
      <c r="AI12" s="133" t="str">
        <f>IF(OR(I18="",I18="プルダウンから選択"),"《 市(町) の利子補給 》",CONCATENATE("《 ",$I$18,"の利子補給 》"))</f>
        <v>《 市(町) の利子補給 》</v>
      </c>
      <c r="AJ12" s="133"/>
      <c r="AK12" s="133"/>
      <c r="AL12" s="133"/>
      <c r="AM12" s="133"/>
      <c r="AN12" s="133"/>
      <c r="AO12" s="133"/>
      <c r="AP12" s="133"/>
      <c r="AQ12" s="133"/>
      <c r="AR12" s="20"/>
    </row>
    <row r="13" spans="1:44" ht="15" customHeight="1" thickBot="1" x14ac:dyDescent="0.45">
      <c r="A13" s="13"/>
      <c r="B13" s="187"/>
      <c r="C13" s="188"/>
      <c r="D13" s="188"/>
      <c r="E13" s="188"/>
      <c r="F13" s="188"/>
      <c r="G13" s="188"/>
      <c r="H13" s="189"/>
      <c r="I13" s="207"/>
      <c r="J13" s="208"/>
      <c r="K13" s="208"/>
      <c r="L13" s="208"/>
      <c r="M13" s="208"/>
      <c r="N13" s="209"/>
      <c r="O13" s="216"/>
      <c r="P13" s="14"/>
      <c r="Q13" s="135" t="s">
        <v>30</v>
      </c>
      <c r="R13" s="136"/>
      <c r="S13" s="256" t="s">
        <v>33</v>
      </c>
      <c r="T13" s="256"/>
      <c r="U13" s="256"/>
      <c r="V13" s="256"/>
      <c r="W13" s="256"/>
      <c r="X13" s="256"/>
      <c r="Y13" s="256"/>
      <c r="Z13" s="256"/>
      <c r="AA13" s="256"/>
      <c r="AB13" s="256"/>
      <c r="AC13" s="257"/>
      <c r="AD13" s="220"/>
      <c r="AE13" s="221"/>
      <c r="AF13" s="221"/>
      <c r="AG13" s="222"/>
      <c r="AH13" s="14"/>
      <c r="AI13" s="217"/>
      <c r="AJ13" s="217"/>
      <c r="AK13" s="217"/>
      <c r="AL13" s="217"/>
      <c r="AM13" s="217"/>
      <c r="AN13" s="217"/>
      <c r="AO13" s="217"/>
      <c r="AP13" s="217"/>
      <c r="AQ13" s="217"/>
      <c r="AR13" s="20"/>
    </row>
    <row r="14" spans="1:44" ht="15" customHeight="1" x14ac:dyDescent="0.4">
      <c r="A14" s="13"/>
      <c r="B14" s="184" t="s">
        <v>64</v>
      </c>
      <c r="C14" s="185"/>
      <c r="D14" s="185"/>
      <c r="E14" s="185"/>
      <c r="F14" s="185"/>
      <c r="G14" s="185"/>
      <c r="H14" s="186"/>
      <c r="I14" s="198" t="str">
        <f>IF(I8="","",I8-I10-I12)</f>
        <v/>
      </c>
      <c r="J14" s="199"/>
      <c r="K14" s="199"/>
      <c r="L14" s="199"/>
      <c r="M14" s="199"/>
      <c r="N14" s="200"/>
      <c r="O14" s="216" t="s">
        <v>25</v>
      </c>
      <c r="P14" s="14"/>
      <c r="Q14" s="161"/>
      <c r="R14" s="162"/>
      <c r="S14" s="260"/>
      <c r="T14" s="260"/>
      <c r="U14" s="260"/>
      <c r="V14" s="260"/>
      <c r="W14" s="260"/>
      <c r="X14" s="260"/>
      <c r="Y14" s="260"/>
      <c r="Z14" s="260"/>
      <c r="AA14" s="260"/>
      <c r="AB14" s="260"/>
      <c r="AC14" s="261"/>
      <c r="AD14" s="223"/>
      <c r="AE14" s="224"/>
      <c r="AF14" s="224"/>
      <c r="AG14" s="225"/>
      <c r="AH14" s="14"/>
      <c r="AI14" s="141" t="s">
        <v>32</v>
      </c>
      <c r="AJ14" s="142"/>
      <c r="AK14" s="142"/>
      <c r="AL14" s="142"/>
      <c r="AM14" s="142"/>
      <c r="AN14" s="145" t="str">
        <f>IF(OR($I$18="",$I$18="プルダウンから選択"),"",VLOOKUP($I$18,市町データ等!$B:$F,4,0))</f>
        <v/>
      </c>
      <c r="AO14" s="145"/>
      <c r="AP14" s="145"/>
      <c r="AQ14" s="146"/>
      <c r="AR14" s="20"/>
    </row>
    <row r="15" spans="1:44" ht="15" customHeight="1" x14ac:dyDescent="0.4">
      <c r="A15" s="13"/>
      <c r="B15" s="187"/>
      <c r="C15" s="188"/>
      <c r="D15" s="188"/>
      <c r="E15" s="188"/>
      <c r="F15" s="188"/>
      <c r="G15" s="188"/>
      <c r="H15" s="189"/>
      <c r="I15" s="201"/>
      <c r="J15" s="202"/>
      <c r="K15" s="202"/>
      <c r="L15" s="202"/>
      <c r="M15" s="202"/>
      <c r="N15" s="203"/>
      <c r="O15" s="216"/>
      <c r="P15" s="14"/>
      <c r="Q15" s="135" t="s">
        <v>31</v>
      </c>
      <c r="R15" s="136"/>
      <c r="S15" s="256" t="s">
        <v>115</v>
      </c>
      <c r="T15" s="256"/>
      <c r="U15" s="256"/>
      <c r="V15" s="256"/>
      <c r="W15" s="256"/>
      <c r="X15" s="256"/>
      <c r="Y15" s="256"/>
      <c r="Z15" s="256"/>
      <c r="AA15" s="256"/>
      <c r="AB15" s="256"/>
      <c r="AC15" s="257"/>
      <c r="AD15" s="302" t="str">
        <f>IF(OR($I$18="",$I$18="プルダウンから選択"),"自動判定",IF(VLOOKUP($I$18,市町データ等!$B:$F,5,0)="○","はい","いいえ"))</f>
        <v>自動判定</v>
      </c>
      <c r="AE15" s="303"/>
      <c r="AF15" s="303"/>
      <c r="AG15" s="304"/>
      <c r="AH15" s="14"/>
      <c r="AI15" s="143"/>
      <c r="AJ15" s="144"/>
      <c r="AK15" s="144"/>
      <c r="AL15" s="144"/>
      <c r="AM15" s="144"/>
      <c r="AN15" s="147"/>
      <c r="AO15" s="147"/>
      <c r="AP15" s="147"/>
      <c r="AQ15" s="148"/>
      <c r="AR15" s="20"/>
    </row>
    <row r="16" spans="1:44" ht="15" customHeight="1" thickBot="1" x14ac:dyDescent="0.45">
      <c r="A16" s="13"/>
      <c r="B16" s="244" t="s">
        <v>82</v>
      </c>
      <c r="C16" s="171"/>
      <c r="D16" s="171"/>
      <c r="E16" s="171" t="s">
        <v>81</v>
      </c>
      <c r="F16" s="171"/>
      <c r="G16" s="171"/>
      <c r="H16" s="175"/>
      <c r="I16" s="272" t="s">
        <v>116</v>
      </c>
      <c r="J16" s="273"/>
      <c r="K16" s="171" t="s">
        <v>112</v>
      </c>
      <c r="L16" s="173" t="s">
        <v>116</v>
      </c>
      <c r="M16" s="173"/>
      <c r="N16" s="175" t="s">
        <v>113</v>
      </c>
      <c r="O16" s="22"/>
      <c r="P16" s="14"/>
      <c r="Q16" s="137"/>
      <c r="R16" s="138"/>
      <c r="S16" s="258"/>
      <c r="T16" s="258"/>
      <c r="U16" s="258"/>
      <c r="V16" s="258"/>
      <c r="W16" s="258"/>
      <c r="X16" s="258"/>
      <c r="Y16" s="258"/>
      <c r="Z16" s="258"/>
      <c r="AA16" s="258"/>
      <c r="AB16" s="258"/>
      <c r="AC16" s="259"/>
      <c r="AD16" s="305"/>
      <c r="AE16" s="306"/>
      <c r="AF16" s="306"/>
      <c r="AG16" s="307"/>
      <c r="AH16" s="14"/>
      <c r="AI16" s="143"/>
      <c r="AJ16" s="144"/>
      <c r="AK16" s="144"/>
      <c r="AL16" s="144"/>
      <c r="AM16" s="144"/>
      <c r="AN16" s="147"/>
      <c r="AO16" s="147"/>
      <c r="AP16" s="147"/>
      <c r="AQ16" s="148"/>
      <c r="AR16" s="20"/>
    </row>
    <row r="17" spans="1:44" ht="15" customHeight="1" x14ac:dyDescent="0.4">
      <c r="A17" s="13"/>
      <c r="B17" s="245"/>
      <c r="C17" s="144"/>
      <c r="D17" s="144"/>
      <c r="E17" s="172"/>
      <c r="F17" s="172"/>
      <c r="G17" s="172"/>
      <c r="H17" s="176"/>
      <c r="I17" s="274"/>
      <c r="J17" s="275"/>
      <c r="K17" s="172"/>
      <c r="L17" s="174"/>
      <c r="M17" s="174"/>
      <c r="N17" s="176"/>
      <c r="O17" s="22"/>
      <c r="P17" s="14"/>
      <c r="Q17" s="262" t="s">
        <v>60</v>
      </c>
      <c r="R17" s="263"/>
      <c r="S17" s="263"/>
      <c r="T17" s="263"/>
      <c r="U17" s="263"/>
      <c r="V17" s="263"/>
      <c r="W17" s="263"/>
      <c r="X17" s="263"/>
      <c r="Y17" s="263"/>
      <c r="Z17" s="263"/>
      <c r="AA17" s="263"/>
      <c r="AB17" s="263"/>
      <c r="AC17" s="263"/>
      <c r="AD17" s="308" t="str">
        <f>IF(AD15="自動判定","",IF(AND($AD$10="はい",$AD$13="はい"),"エラー",IF(COUNTIF($AD$8:$AD$12,"はい")=3,0.0075,IF(COUNTIF($AD$8:$AD$12,"はい")=2,0.005,IF(COUNTIF($AD$8:$AD$12,"はい")=1,0.0025,IF(COUNTIF($AD$8:$AD$12,"はい")=0,0))))))</f>
        <v/>
      </c>
      <c r="AE17" s="308"/>
      <c r="AF17" s="308"/>
      <c r="AG17" s="309"/>
      <c r="AH17" s="14"/>
      <c r="AI17" s="295" t="s">
        <v>3</v>
      </c>
      <c r="AJ17" s="296"/>
      <c r="AK17" s="296"/>
      <c r="AL17" s="296"/>
      <c r="AM17" s="296"/>
      <c r="AN17" s="180" t="str">
        <f>IF(OR($I$18="",$I$18="プルダウンから選択"),"",VLOOKUP($I$18,市町データ等!$B:$F,3,0))</f>
        <v/>
      </c>
      <c r="AO17" s="180"/>
      <c r="AP17" s="180"/>
      <c r="AQ17" s="181"/>
      <c r="AR17" s="20"/>
    </row>
    <row r="18" spans="1:44" ht="15" customHeight="1" thickBot="1" x14ac:dyDescent="0.45">
      <c r="A18" s="13"/>
      <c r="B18" s="245"/>
      <c r="C18" s="144"/>
      <c r="D18" s="144"/>
      <c r="E18" s="144" t="s">
        <v>83</v>
      </c>
      <c r="F18" s="144"/>
      <c r="G18" s="144"/>
      <c r="H18" s="241"/>
      <c r="I18" s="196" t="s">
        <v>57</v>
      </c>
      <c r="J18" s="196"/>
      <c r="K18" s="196"/>
      <c r="L18" s="196"/>
      <c r="M18" s="196"/>
      <c r="N18" s="196"/>
      <c r="O18" s="22"/>
      <c r="P18" s="14"/>
      <c r="Q18" s="264"/>
      <c r="R18" s="265"/>
      <c r="S18" s="265"/>
      <c r="T18" s="265"/>
      <c r="U18" s="265"/>
      <c r="V18" s="265"/>
      <c r="W18" s="265"/>
      <c r="X18" s="265"/>
      <c r="Y18" s="265"/>
      <c r="Z18" s="265"/>
      <c r="AA18" s="265"/>
      <c r="AB18" s="265"/>
      <c r="AC18" s="265"/>
      <c r="AD18" s="310"/>
      <c r="AE18" s="310"/>
      <c r="AF18" s="310"/>
      <c r="AG18" s="311"/>
      <c r="AH18" s="14"/>
      <c r="AI18" s="297"/>
      <c r="AJ18" s="298"/>
      <c r="AK18" s="298"/>
      <c r="AL18" s="298"/>
      <c r="AM18" s="298"/>
      <c r="AN18" s="182"/>
      <c r="AO18" s="182"/>
      <c r="AP18" s="182"/>
      <c r="AQ18" s="183"/>
      <c r="AR18" s="20"/>
    </row>
    <row r="19" spans="1:44" ht="15" customHeight="1" x14ac:dyDescent="0.4">
      <c r="A19" s="13"/>
      <c r="B19" s="246"/>
      <c r="C19" s="242"/>
      <c r="D19" s="242"/>
      <c r="E19" s="242"/>
      <c r="F19" s="242"/>
      <c r="G19" s="242"/>
      <c r="H19" s="243"/>
      <c r="I19" s="197"/>
      <c r="J19" s="197"/>
      <c r="K19" s="197"/>
      <c r="L19" s="197"/>
      <c r="M19" s="197"/>
      <c r="N19" s="197"/>
      <c r="O19" s="22"/>
      <c r="P19" s="14"/>
      <c r="Q19" s="266" t="str">
        <f>IF(AD13="はい","※Q3について、暫定的に利子補給対象として計算しております。","")</f>
        <v/>
      </c>
      <c r="R19" s="266"/>
      <c r="S19" s="266"/>
      <c r="T19" s="266"/>
      <c r="U19" s="266"/>
      <c r="V19" s="266"/>
      <c r="W19" s="266"/>
      <c r="X19" s="266"/>
      <c r="Y19" s="266"/>
      <c r="Z19" s="266"/>
      <c r="AA19" s="266"/>
      <c r="AB19" s="266"/>
      <c r="AC19" s="266"/>
      <c r="AD19" s="266"/>
      <c r="AE19" s="266"/>
      <c r="AF19" s="266"/>
      <c r="AG19" s="266"/>
      <c r="AH19" s="14"/>
      <c r="AI19" s="14"/>
      <c r="AJ19" s="14"/>
      <c r="AK19" s="14"/>
      <c r="AL19" s="14"/>
      <c r="AM19" s="14"/>
      <c r="AN19" s="14"/>
      <c r="AO19" s="14"/>
      <c r="AP19" s="14"/>
      <c r="AQ19" s="14"/>
      <c r="AR19" s="20"/>
    </row>
    <row r="20" spans="1:44" ht="15" customHeight="1" thickBot="1" x14ac:dyDescent="0.45">
      <c r="A20" s="16"/>
      <c r="B20" s="17"/>
      <c r="C20" s="17"/>
      <c r="D20" s="17"/>
      <c r="E20" s="17"/>
      <c r="F20" s="17"/>
      <c r="G20" s="17"/>
      <c r="H20" s="17"/>
      <c r="I20" s="17"/>
      <c r="J20" s="17"/>
      <c r="K20" s="17"/>
      <c r="L20" s="17"/>
      <c r="M20" s="17"/>
      <c r="N20" s="18"/>
      <c r="O20" s="17"/>
      <c r="P20" s="17"/>
      <c r="Q20" s="267"/>
      <c r="R20" s="267"/>
      <c r="S20" s="267"/>
      <c r="T20" s="267"/>
      <c r="U20" s="267"/>
      <c r="V20" s="267"/>
      <c r="W20" s="267"/>
      <c r="X20" s="267"/>
      <c r="Y20" s="267"/>
      <c r="Z20" s="267"/>
      <c r="AA20" s="267"/>
      <c r="AB20" s="267"/>
      <c r="AC20" s="267"/>
      <c r="AD20" s="267"/>
      <c r="AE20" s="267"/>
      <c r="AF20" s="267"/>
      <c r="AG20" s="267"/>
      <c r="AH20" s="17"/>
      <c r="AI20" s="17"/>
      <c r="AJ20" s="17"/>
      <c r="AK20" s="17"/>
      <c r="AL20" s="17"/>
      <c r="AM20" s="17"/>
      <c r="AN20" s="17"/>
      <c r="AO20" s="17"/>
      <c r="AP20" s="17"/>
      <c r="AQ20" s="17"/>
      <c r="AR20" s="19"/>
    </row>
    <row r="21" spans="1:44" ht="15" customHeight="1" x14ac:dyDescent="0.4">
      <c r="A21" s="23"/>
      <c r="B21" s="139" t="s">
        <v>35</v>
      </c>
      <c r="C21" s="139"/>
      <c r="D21" s="139"/>
      <c r="E21" s="139"/>
      <c r="F21" s="139"/>
      <c r="G21" s="139"/>
      <c r="H21" s="139"/>
      <c r="I21" s="139"/>
      <c r="J21" s="139"/>
      <c r="K21" s="139"/>
      <c r="L21" s="139"/>
      <c r="M21" s="139"/>
      <c r="N21" s="139"/>
      <c r="O21" s="139"/>
      <c r="P21" s="14"/>
      <c r="Q21" s="14"/>
      <c r="R21" s="14"/>
      <c r="S21" s="14"/>
      <c r="T21" s="14"/>
      <c r="U21" s="14"/>
      <c r="V21" s="14"/>
      <c r="W21" s="14"/>
      <c r="X21" s="32"/>
      <c r="Y21" s="32"/>
      <c r="Z21" s="32"/>
      <c r="AA21" s="32"/>
      <c r="AB21" s="14"/>
      <c r="AC21" s="14"/>
      <c r="AD21" s="14"/>
      <c r="AE21" s="14"/>
      <c r="AF21" s="14"/>
      <c r="AG21" s="14"/>
      <c r="AH21" s="14"/>
      <c r="AI21" s="14"/>
      <c r="AJ21" s="32"/>
      <c r="AK21" s="32"/>
      <c r="AL21" s="32"/>
      <c r="AM21" s="32"/>
      <c r="AN21" s="32"/>
      <c r="AO21" s="32"/>
      <c r="AP21" s="32"/>
      <c r="AQ21" s="32"/>
      <c r="AR21" s="20"/>
    </row>
    <row r="22" spans="1:44" ht="15" customHeight="1" x14ac:dyDescent="0.4">
      <c r="A22" s="13"/>
      <c r="B22" s="140"/>
      <c r="C22" s="140"/>
      <c r="D22" s="140"/>
      <c r="E22" s="140"/>
      <c r="F22" s="140"/>
      <c r="G22" s="140"/>
      <c r="H22" s="140"/>
      <c r="I22" s="140"/>
      <c r="J22" s="140"/>
      <c r="K22" s="140"/>
      <c r="L22" s="140"/>
      <c r="M22" s="140"/>
      <c r="N22" s="140"/>
      <c r="O22" s="140"/>
      <c r="P22" s="14"/>
      <c r="Q22" s="14"/>
      <c r="R22" s="14"/>
      <c r="S22" s="14"/>
      <c r="T22" s="14"/>
      <c r="U22" s="14"/>
      <c r="V22" s="14"/>
      <c r="W22" s="33"/>
      <c r="X22" s="247" t="s">
        <v>72</v>
      </c>
      <c r="Y22" s="247"/>
      <c r="Z22" s="247"/>
      <c r="AA22" s="247"/>
      <c r="AB22" s="288" t="s">
        <v>68</v>
      </c>
      <c r="AC22" s="288"/>
      <c r="AD22" s="288"/>
      <c r="AE22" s="288"/>
      <c r="AF22" s="288"/>
      <c r="AG22" s="288"/>
      <c r="AH22" s="288"/>
      <c r="AI22" s="289"/>
      <c r="AJ22" s="276" t="s">
        <v>73</v>
      </c>
      <c r="AK22" s="276"/>
      <c r="AL22" s="276"/>
      <c r="AM22" s="277"/>
      <c r="AN22" s="282" t="s">
        <v>74</v>
      </c>
      <c r="AO22" s="282"/>
      <c r="AP22" s="282"/>
      <c r="AQ22" s="283"/>
      <c r="AR22" s="20"/>
    </row>
    <row r="23" spans="1:44" ht="15" customHeight="1" x14ac:dyDescent="0.4">
      <c r="A23" s="13"/>
      <c r="B23" s="104" t="s">
        <v>93</v>
      </c>
      <c r="C23" s="105"/>
      <c r="D23" s="105"/>
      <c r="E23" s="105"/>
      <c r="F23" s="105"/>
      <c r="G23" s="105"/>
      <c r="H23" s="106"/>
      <c r="I23" s="250" t="str">
        <f>IF(OR($I$16="選択",$L$16="選択"),"",計算表!$C$7)</f>
        <v/>
      </c>
      <c r="J23" s="251"/>
      <c r="K23" s="251"/>
      <c r="L23" s="251"/>
      <c r="M23" s="251"/>
      <c r="N23" s="251"/>
      <c r="O23" s="252"/>
      <c r="P23" s="14"/>
      <c r="Q23" s="14"/>
      <c r="R23" s="14"/>
      <c r="S23" s="14"/>
      <c r="T23" s="312" t="s">
        <v>89</v>
      </c>
      <c r="U23" s="312"/>
      <c r="V23" s="312"/>
      <c r="W23" s="313"/>
      <c r="X23" s="247"/>
      <c r="Y23" s="247"/>
      <c r="Z23" s="247"/>
      <c r="AA23" s="247"/>
      <c r="AB23" s="291" t="s">
        <v>36</v>
      </c>
      <c r="AC23" s="291"/>
      <c r="AD23" s="291"/>
      <c r="AE23" s="291"/>
      <c r="AF23" s="290" t="str">
        <f>IF(OR(I18="",I18="プルダウンから選択"),"市(町)",I18)</f>
        <v>市(町)</v>
      </c>
      <c r="AG23" s="290"/>
      <c r="AH23" s="290"/>
      <c r="AI23" s="290"/>
      <c r="AJ23" s="278"/>
      <c r="AK23" s="278"/>
      <c r="AL23" s="278"/>
      <c r="AM23" s="279"/>
      <c r="AN23" s="284"/>
      <c r="AO23" s="284"/>
      <c r="AP23" s="284"/>
      <c r="AQ23" s="285"/>
      <c r="AR23" s="20"/>
    </row>
    <row r="24" spans="1:44" ht="15" customHeight="1" x14ac:dyDescent="0.4">
      <c r="A24" s="13"/>
      <c r="B24" s="107"/>
      <c r="C24" s="108"/>
      <c r="D24" s="108"/>
      <c r="E24" s="108"/>
      <c r="F24" s="108"/>
      <c r="G24" s="108"/>
      <c r="H24" s="109"/>
      <c r="I24" s="253"/>
      <c r="J24" s="254"/>
      <c r="K24" s="254"/>
      <c r="L24" s="254"/>
      <c r="M24" s="254"/>
      <c r="N24" s="254"/>
      <c r="O24" s="255"/>
      <c r="P24" s="14"/>
      <c r="Q24" s="14"/>
      <c r="R24" s="14"/>
      <c r="S24" s="14"/>
      <c r="T24" s="314"/>
      <c r="U24" s="314"/>
      <c r="V24" s="314"/>
      <c r="W24" s="315"/>
      <c r="X24" s="248"/>
      <c r="Y24" s="248"/>
      <c r="Z24" s="248"/>
      <c r="AA24" s="248"/>
      <c r="AB24" s="249" t="str">
        <f>AD17</f>
        <v/>
      </c>
      <c r="AC24" s="249"/>
      <c r="AD24" s="249"/>
      <c r="AE24" s="249"/>
      <c r="AF24" s="316" t="str">
        <f>AN17</f>
        <v/>
      </c>
      <c r="AG24" s="316"/>
      <c r="AH24" s="316"/>
      <c r="AI24" s="316"/>
      <c r="AJ24" s="280"/>
      <c r="AK24" s="280"/>
      <c r="AL24" s="280"/>
      <c r="AM24" s="281"/>
      <c r="AN24" s="286"/>
      <c r="AO24" s="286"/>
      <c r="AP24" s="286"/>
      <c r="AQ24" s="287"/>
      <c r="AR24" s="20"/>
    </row>
    <row r="25" spans="1:44" ht="15" customHeight="1" x14ac:dyDescent="0.4">
      <c r="A25" s="13"/>
      <c r="B25" s="104" t="s">
        <v>37</v>
      </c>
      <c r="C25" s="105"/>
      <c r="D25" s="105"/>
      <c r="E25" s="105"/>
      <c r="F25" s="105"/>
      <c r="G25" s="105"/>
      <c r="H25" s="106"/>
      <c r="I25" s="98" t="str">
        <f>IF(I27="","",ROUNDUP($I$14/$I$27,-3))</f>
        <v/>
      </c>
      <c r="J25" s="99"/>
      <c r="K25" s="99"/>
      <c r="L25" s="99"/>
      <c r="M25" s="99"/>
      <c r="N25" s="99"/>
      <c r="O25" s="100"/>
      <c r="P25" s="160" t="s">
        <v>25</v>
      </c>
      <c r="Q25" s="63"/>
      <c r="R25" s="63"/>
      <c r="S25" s="14"/>
      <c r="T25" s="240" t="str">
        <f>計算表!J7</f>
        <v>初年度</v>
      </c>
      <c r="U25" s="240"/>
      <c r="V25" s="240"/>
      <c r="W25" s="240"/>
      <c r="X25" s="170">
        <f>IFERROR(計算表!L7,0)</f>
        <v>0</v>
      </c>
      <c r="Y25" s="170"/>
      <c r="Z25" s="170"/>
      <c r="AA25" s="170"/>
      <c r="AB25" s="167">
        <f>IFERROR(計算表!Q7,0)</f>
        <v>0</v>
      </c>
      <c r="AC25" s="167"/>
      <c r="AD25" s="167"/>
      <c r="AE25" s="167"/>
      <c r="AF25" s="167">
        <f>IFERROR(計算表!O7,0)</f>
        <v>0</v>
      </c>
      <c r="AG25" s="167"/>
      <c r="AH25" s="167"/>
      <c r="AI25" s="167"/>
      <c r="AJ25" s="168">
        <f>SUM(AB25:AI26)</f>
        <v>0</v>
      </c>
      <c r="AK25" s="168"/>
      <c r="AL25" s="168"/>
      <c r="AM25" s="168"/>
      <c r="AN25" s="169">
        <f>X25-AJ25</f>
        <v>0</v>
      </c>
      <c r="AO25" s="169"/>
      <c r="AP25" s="169"/>
      <c r="AQ25" s="169"/>
      <c r="AR25" s="20"/>
    </row>
    <row r="26" spans="1:44" ht="15" customHeight="1" x14ac:dyDescent="0.4">
      <c r="A26" s="13"/>
      <c r="B26" s="107"/>
      <c r="C26" s="108"/>
      <c r="D26" s="108"/>
      <c r="E26" s="108"/>
      <c r="F26" s="108"/>
      <c r="G26" s="108"/>
      <c r="H26" s="109"/>
      <c r="I26" s="101"/>
      <c r="J26" s="102"/>
      <c r="K26" s="102"/>
      <c r="L26" s="102"/>
      <c r="M26" s="102"/>
      <c r="N26" s="102"/>
      <c r="O26" s="103"/>
      <c r="P26" s="160"/>
      <c r="Q26" s="63"/>
      <c r="R26" s="63"/>
      <c r="S26" s="14"/>
      <c r="T26" s="240"/>
      <c r="U26" s="240"/>
      <c r="V26" s="240"/>
      <c r="W26" s="240"/>
      <c r="X26" s="170"/>
      <c r="Y26" s="170"/>
      <c r="Z26" s="170"/>
      <c r="AA26" s="170"/>
      <c r="AB26" s="167"/>
      <c r="AC26" s="167"/>
      <c r="AD26" s="167"/>
      <c r="AE26" s="167"/>
      <c r="AF26" s="167"/>
      <c r="AG26" s="167"/>
      <c r="AH26" s="167"/>
      <c r="AI26" s="167"/>
      <c r="AJ26" s="168"/>
      <c r="AK26" s="168"/>
      <c r="AL26" s="168"/>
      <c r="AM26" s="168"/>
      <c r="AN26" s="169"/>
      <c r="AO26" s="169"/>
      <c r="AP26" s="169"/>
      <c r="AQ26" s="169"/>
      <c r="AR26" s="20"/>
    </row>
    <row r="27" spans="1:44" ht="15" customHeight="1" x14ac:dyDescent="0.4">
      <c r="A27" s="13"/>
      <c r="B27" s="104" t="s">
        <v>34</v>
      </c>
      <c r="C27" s="105"/>
      <c r="D27" s="105"/>
      <c r="E27" s="105"/>
      <c r="F27" s="105"/>
      <c r="G27" s="105"/>
      <c r="H27" s="106"/>
      <c r="I27" s="92" t="str">
        <f>IF(I8="","","72")</f>
        <v/>
      </c>
      <c r="J27" s="93"/>
      <c r="K27" s="93"/>
      <c r="L27" s="93"/>
      <c r="M27" s="93"/>
      <c r="N27" s="93"/>
      <c r="O27" s="94"/>
      <c r="P27" s="163" t="s">
        <v>38</v>
      </c>
      <c r="Q27" s="164"/>
      <c r="R27" s="164"/>
      <c r="S27" s="14"/>
      <c r="T27" s="240" t="str">
        <f>IFERROR(計算表!J8,"２年度目")</f>
        <v>２年度目</v>
      </c>
      <c r="U27" s="240"/>
      <c r="V27" s="240"/>
      <c r="W27" s="240"/>
      <c r="X27" s="170">
        <f>IFERROR(計算表!L8,0)</f>
        <v>0</v>
      </c>
      <c r="Y27" s="170"/>
      <c r="Z27" s="170"/>
      <c r="AA27" s="170"/>
      <c r="AB27" s="167">
        <f>IFERROR(計算表!Q8,0)</f>
        <v>0</v>
      </c>
      <c r="AC27" s="167"/>
      <c r="AD27" s="167"/>
      <c r="AE27" s="167"/>
      <c r="AF27" s="167">
        <f>IFERROR(計算表!O8,0)</f>
        <v>0</v>
      </c>
      <c r="AG27" s="167"/>
      <c r="AH27" s="167"/>
      <c r="AI27" s="167"/>
      <c r="AJ27" s="168">
        <f t="shared" ref="AJ27" si="0">SUM(AB27:AI28)</f>
        <v>0</v>
      </c>
      <c r="AK27" s="168"/>
      <c r="AL27" s="168"/>
      <c r="AM27" s="168"/>
      <c r="AN27" s="169">
        <f t="shared" ref="AN27" si="1">X27-AJ27</f>
        <v>0</v>
      </c>
      <c r="AO27" s="169"/>
      <c r="AP27" s="169"/>
      <c r="AQ27" s="169"/>
      <c r="AR27" s="20"/>
    </row>
    <row r="28" spans="1:44" ht="15" customHeight="1" x14ac:dyDescent="0.4">
      <c r="A28" s="13"/>
      <c r="B28" s="107"/>
      <c r="C28" s="108"/>
      <c r="D28" s="108"/>
      <c r="E28" s="108"/>
      <c r="F28" s="108"/>
      <c r="G28" s="108"/>
      <c r="H28" s="109"/>
      <c r="I28" s="95"/>
      <c r="J28" s="96"/>
      <c r="K28" s="96"/>
      <c r="L28" s="96"/>
      <c r="M28" s="96"/>
      <c r="N28" s="96"/>
      <c r="O28" s="97"/>
      <c r="P28" s="163"/>
      <c r="Q28" s="164"/>
      <c r="R28" s="164"/>
      <c r="S28" s="14"/>
      <c r="T28" s="240"/>
      <c r="U28" s="240"/>
      <c r="V28" s="240"/>
      <c r="W28" s="240"/>
      <c r="X28" s="170"/>
      <c r="Y28" s="170"/>
      <c r="Z28" s="170"/>
      <c r="AA28" s="170"/>
      <c r="AB28" s="167"/>
      <c r="AC28" s="167"/>
      <c r="AD28" s="167"/>
      <c r="AE28" s="167"/>
      <c r="AF28" s="167"/>
      <c r="AG28" s="167"/>
      <c r="AH28" s="167"/>
      <c r="AI28" s="167"/>
      <c r="AJ28" s="168"/>
      <c r="AK28" s="168"/>
      <c r="AL28" s="168"/>
      <c r="AM28" s="168"/>
      <c r="AN28" s="169"/>
      <c r="AO28" s="169"/>
      <c r="AP28" s="169"/>
      <c r="AQ28" s="169"/>
      <c r="AR28" s="20"/>
    </row>
    <row r="29" spans="1:44" ht="15" customHeight="1" x14ac:dyDescent="0.4">
      <c r="A29" s="13"/>
      <c r="B29" s="104" t="s">
        <v>2</v>
      </c>
      <c r="C29" s="105"/>
      <c r="D29" s="105"/>
      <c r="E29" s="105"/>
      <c r="F29" s="105"/>
      <c r="G29" s="105"/>
      <c r="H29" s="106"/>
      <c r="I29" s="86" t="str">
        <f>IF(OR(I18="",I18="プルダウンから選択"),"",VLOOKUP($I$18,市町データ等!$B:$G,2,0))</f>
        <v/>
      </c>
      <c r="J29" s="87"/>
      <c r="K29" s="87"/>
      <c r="L29" s="87"/>
      <c r="M29" s="87"/>
      <c r="N29" s="87"/>
      <c r="O29" s="88"/>
      <c r="P29" s="160" t="s">
        <v>53</v>
      </c>
      <c r="Q29" s="63"/>
      <c r="R29" s="63"/>
      <c r="S29" s="14"/>
      <c r="T29" s="240" t="str">
        <f>IFERROR(計算表!J9,"３年度目")</f>
        <v>３年度目</v>
      </c>
      <c r="U29" s="240"/>
      <c r="V29" s="240"/>
      <c r="W29" s="240"/>
      <c r="X29" s="170">
        <f>IFERROR(計算表!L9,0)</f>
        <v>0</v>
      </c>
      <c r="Y29" s="170"/>
      <c r="Z29" s="170"/>
      <c r="AA29" s="170"/>
      <c r="AB29" s="167">
        <f>IFERROR(計算表!Q9,0)</f>
        <v>0</v>
      </c>
      <c r="AC29" s="167"/>
      <c r="AD29" s="167"/>
      <c r="AE29" s="167"/>
      <c r="AF29" s="167">
        <f>IFERROR(計算表!O9,0)</f>
        <v>0</v>
      </c>
      <c r="AG29" s="167"/>
      <c r="AH29" s="167"/>
      <c r="AI29" s="167"/>
      <c r="AJ29" s="168">
        <f t="shared" ref="AJ29" si="2">SUM(AB29:AI30)</f>
        <v>0</v>
      </c>
      <c r="AK29" s="168"/>
      <c r="AL29" s="168"/>
      <c r="AM29" s="168"/>
      <c r="AN29" s="169">
        <f t="shared" ref="AN29" si="3">X29-AJ29</f>
        <v>0</v>
      </c>
      <c r="AO29" s="169"/>
      <c r="AP29" s="169"/>
      <c r="AQ29" s="169"/>
      <c r="AR29" s="20"/>
    </row>
    <row r="30" spans="1:44" ht="15" customHeight="1" x14ac:dyDescent="0.4">
      <c r="A30" s="13"/>
      <c r="B30" s="107"/>
      <c r="C30" s="108"/>
      <c r="D30" s="108"/>
      <c r="E30" s="108"/>
      <c r="F30" s="108"/>
      <c r="G30" s="108"/>
      <c r="H30" s="109"/>
      <c r="I30" s="89"/>
      <c r="J30" s="90"/>
      <c r="K30" s="90"/>
      <c r="L30" s="90"/>
      <c r="M30" s="90"/>
      <c r="N30" s="90"/>
      <c r="O30" s="91"/>
      <c r="P30" s="160"/>
      <c r="Q30" s="63"/>
      <c r="R30" s="63"/>
      <c r="S30" s="14"/>
      <c r="T30" s="240"/>
      <c r="U30" s="240"/>
      <c r="V30" s="240"/>
      <c r="W30" s="240"/>
      <c r="X30" s="170"/>
      <c r="Y30" s="170"/>
      <c r="Z30" s="170"/>
      <c r="AA30" s="170"/>
      <c r="AB30" s="167"/>
      <c r="AC30" s="167"/>
      <c r="AD30" s="167"/>
      <c r="AE30" s="167"/>
      <c r="AF30" s="167"/>
      <c r="AG30" s="167"/>
      <c r="AH30" s="167"/>
      <c r="AI30" s="167"/>
      <c r="AJ30" s="168"/>
      <c r="AK30" s="168"/>
      <c r="AL30" s="168"/>
      <c r="AM30" s="168"/>
      <c r="AN30" s="169"/>
      <c r="AO30" s="169"/>
      <c r="AP30" s="169"/>
      <c r="AQ30" s="169"/>
      <c r="AR30" s="20"/>
    </row>
    <row r="31" spans="1:44" ht="15" customHeight="1" x14ac:dyDescent="0.4">
      <c r="A31" s="13"/>
      <c r="B31" s="84" t="s">
        <v>48</v>
      </c>
      <c r="C31" s="84"/>
      <c r="D31" s="84"/>
      <c r="E31" s="84"/>
      <c r="F31" s="84"/>
      <c r="G31" s="84"/>
      <c r="H31" s="84"/>
      <c r="I31" s="85" t="str">
        <f>IF($X$41=0,"",$X$41)</f>
        <v/>
      </c>
      <c r="J31" s="85"/>
      <c r="K31" s="85"/>
      <c r="L31" s="85"/>
      <c r="M31" s="85"/>
      <c r="N31" s="85"/>
      <c r="O31" s="85"/>
      <c r="P31" s="159" t="s">
        <v>25</v>
      </c>
      <c r="Q31" s="63"/>
      <c r="R31" s="63"/>
      <c r="S31" s="14"/>
      <c r="T31" s="240" t="str">
        <f>IFERROR(計算表!J10,"４年度目")</f>
        <v>４年度目</v>
      </c>
      <c r="U31" s="240"/>
      <c r="V31" s="240"/>
      <c r="W31" s="240"/>
      <c r="X31" s="170">
        <f>IFERROR(計算表!L10,0)</f>
        <v>0</v>
      </c>
      <c r="Y31" s="170"/>
      <c r="Z31" s="170"/>
      <c r="AA31" s="170"/>
      <c r="AB31" s="167">
        <f>IFERROR(計算表!Q10,0)</f>
        <v>0</v>
      </c>
      <c r="AC31" s="167"/>
      <c r="AD31" s="167"/>
      <c r="AE31" s="167"/>
      <c r="AF31" s="167">
        <f>IFERROR(計算表!O10,0)</f>
        <v>0</v>
      </c>
      <c r="AG31" s="167"/>
      <c r="AH31" s="167"/>
      <c r="AI31" s="167"/>
      <c r="AJ31" s="168">
        <f t="shared" ref="AJ31" si="4">SUM(AB31:AI32)</f>
        <v>0</v>
      </c>
      <c r="AK31" s="168"/>
      <c r="AL31" s="168"/>
      <c r="AM31" s="168"/>
      <c r="AN31" s="169">
        <f t="shared" ref="AN31" si="5">X31-AJ31</f>
        <v>0</v>
      </c>
      <c r="AO31" s="169"/>
      <c r="AP31" s="169"/>
      <c r="AQ31" s="169"/>
      <c r="AR31" s="20"/>
    </row>
    <row r="32" spans="1:44" ht="15" customHeight="1" x14ac:dyDescent="0.4">
      <c r="A32" s="13"/>
      <c r="B32" s="84"/>
      <c r="C32" s="84"/>
      <c r="D32" s="84"/>
      <c r="E32" s="84"/>
      <c r="F32" s="84"/>
      <c r="G32" s="84"/>
      <c r="H32" s="84"/>
      <c r="I32" s="85"/>
      <c r="J32" s="85"/>
      <c r="K32" s="85"/>
      <c r="L32" s="85"/>
      <c r="M32" s="85"/>
      <c r="N32" s="85"/>
      <c r="O32" s="85"/>
      <c r="P32" s="159"/>
      <c r="Q32" s="63"/>
      <c r="R32" s="63"/>
      <c r="S32" s="14"/>
      <c r="T32" s="240"/>
      <c r="U32" s="240"/>
      <c r="V32" s="240"/>
      <c r="W32" s="240"/>
      <c r="X32" s="170"/>
      <c r="Y32" s="170"/>
      <c r="Z32" s="170"/>
      <c r="AA32" s="170"/>
      <c r="AB32" s="167"/>
      <c r="AC32" s="167"/>
      <c r="AD32" s="167"/>
      <c r="AE32" s="167"/>
      <c r="AF32" s="167"/>
      <c r="AG32" s="167"/>
      <c r="AH32" s="167"/>
      <c r="AI32" s="167"/>
      <c r="AJ32" s="168"/>
      <c r="AK32" s="168"/>
      <c r="AL32" s="168"/>
      <c r="AM32" s="168"/>
      <c r="AN32" s="169"/>
      <c r="AO32" s="169"/>
      <c r="AP32" s="169"/>
      <c r="AQ32" s="169"/>
      <c r="AR32" s="20"/>
    </row>
    <row r="33" spans="1:44" ht="15" customHeight="1" x14ac:dyDescent="0.4">
      <c r="A33" s="13"/>
      <c r="B33" s="165" t="s">
        <v>45</v>
      </c>
      <c r="C33" s="165"/>
      <c r="D33" s="165"/>
      <c r="E33" s="165"/>
      <c r="F33" s="165"/>
      <c r="G33" s="165"/>
      <c r="H33" s="165"/>
      <c r="I33" s="165"/>
      <c r="J33" s="165"/>
      <c r="K33" s="165"/>
      <c r="L33" s="165"/>
      <c r="M33" s="165"/>
      <c r="N33" s="165"/>
      <c r="O33" s="165"/>
      <c r="P33" s="64"/>
      <c r="Q33" s="64"/>
      <c r="R33" s="64"/>
      <c r="S33" s="14"/>
      <c r="T33" s="240" t="str">
        <f>IFERROR(計算表!J11,"５年度目")</f>
        <v>５年度目</v>
      </c>
      <c r="U33" s="240"/>
      <c r="V33" s="240"/>
      <c r="W33" s="240"/>
      <c r="X33" s="170">
        <f>IFERROR(計算表!L11,0)</f>
        <v>0</v>
      </c>
      <c r="Y33" s="170"/>
      <c r="Z33" s="170"/>
      <c r="AA33" s="170"/>
      <c r="AB33" s="167">
        <f>IFERROR(計算表!Q11,0)</f>
        <v>0</v>
      </c>
      <c r="AC33" s="167"/>
      <c r="AD33" s="167"/>
      <c r="AE33" s="167"/>
      <c r="AF33" s="167">
        <f>IFERROR(計算表!O11,0)</f>
        <v>0</v>
      </c>
      <c r="AG33" s="167"/>
      <c r="AH33" s="167"/>
      <c r="AI33" s="167"/>
      <c r="AJ33" s="168">
        <f t="shared" ref="AJ33" si="6">SUM(AB33:AI34)</f>
        <v>0</v>
      </c>
      <c r="AK33" s="168"/>
      <c r="AL33" s="168"/>
      <c r="AM33" s="168"/>
      <c r="AN33" s="169">
        <f t="shared" ref="AN33" si="7">X33-AJ33</f>
        <v>0</v>
      </c>
      <c r="AO33" s="169"/>
      <c r="AP33" s="169"/>
      <c r="AQ33" s="169"/>
      <c r="AR33" s="20"/>
    </row>
    <row r="34" spans="1:44" ht="15" customHeight="1" x14ac:dyDescent="0.4">
      <c r="A34" s="13"/>
      <c r="B34" s="166"/>
      <c r="C34" s="166"/>
      <c r="D34" s="166"/>
      <c r="E34" s="166"/>
      <c r="F34" s="166"/>
      <c r="G34" s="166"/>
      <c r="H34" s="166"/>
      <c r="I34" s="166"/>
      <c r="J34" s="166"/>
      <c r="K34" s="166"/>
      <c r="L34" s="166"/>
      <c r="M34" s="166"/>
      <c r="N34" s="166"/>
      <c r="O34" s="166"/>
      <c r="P34" s="64"/>
      <c r="Q34" s="64"/>
      <c r="R34" s="64"/>
      <c r="S34" s="14"/>
      <c r="T34" s="240"/>
      <c r="U34" s="240"/>
      <c r="V34" s="240"/>
      <c r="W34" s="240"/>
      <c r="X34" s="170"/>
      <c r="Y34" s="170"/>
      <c r="Z34" s="170"/>
      <c r="AA34" s="170"/>
      <c r="AB34" s="167"/>
      <c r="AC34" s="167"/>
      <c r="AD34" s="167"/>
      <c r="AE34" s="167"/>
      <c r="AF34" s="167"/>
      <c r="AG34" s="167"/>
      <c r="AH34" s="167"/>
      <c r="AI34" s="167"/>
      <c r="AJ34" s="168"/>
      <c r="AK34" s="168"/>
      <c r="AL34" s="168"/>
      <c r="AM34" s="168"/>
      <c r="AN34" s="169"/>
      <c r="AO34" s="169"/>
      <c r="AP34" s="169"/>
      <c r="AQ34" s="169"/>
      <c r="AR34" s="20"/>
    </row>
    <row r="35" spans="1:44" ht="15" customHeight="1" x14ac:dyDescent="0.4">
      <c r="A35" s="13"/>
      <c r="B35" s="232" t="s">
        <v>36</v>
      </c>
      <c r="C35" s="232"/>
      <c r="D35" s="232"/>
      <c r="E35" s="232"/>
      <c r="F35" s="232"/>
      <c r="G35" s="232"/>
      <c r="H35" s="232"/>
      <c r="I35" s="226" t="str">
        <f>IF($I$18="",0,IFERROR(計算表!$Q$15,""))</f>
        <v/>
      </c>
      <c r="J35" s="226"/>
      <c r="K35" s="226"/>
      <c r="L35" s="226"/>
      <c r="M35" s="226"/>
      <c r="N35" s="226"/>
      <c r="O35" s="226"/>
      <c r="P35" s="159" t="s">
        <v>25</v>
      </c>
      <c r="Q35" s="64"/>
      <c r="R35" s="64"/>
      <c r="S35" s="14"/>
      <c r="T35" s="240" t="str">
        <f>IFERROR(計算表!J12,"６年度目")</f>
        <v>６年度目</v>
      </c>
      <c r="U35" s="240"/>
      <c r="V35" s="240"/>
      <c r="W35" s="240"/>
      <c r="X35" s="170">
        <f>IFERROR(計算表!L12,0)</f>
        <v>0</v>
      </c>
      <c r="Y35" s="170"/>
      <c r="Z35" s="170"/>
      <c r="AA35" s="170"/>
      <c r="AB35" s="167">
        <f>IFERROR(計算表!Q12,0)</f>
        <v>0</v>
      </c>
      <c r="AC35" s="167"/>
      <c r="AD35" s="167"/>
      <c r="AE35" s="167"/>
      <c r="AF35" s="167">
        <f>IFERROR(計算表!O12,0)</f>
        <v>0</v>
      </c>
      <c r="AG35" s="167"/>
      <c r="AH35" s="167"/>
      <c r="AI35" s="167"/>
      <c r="AJ35" s="168">
        <f t="shared" ref="AJ35" si="8">SUM(AB35:AI36)</f>
        <v>0</v>
      </c>
      <c r="AK35" s="168"/>
      <c r="AL35" s="168"/>
      <c r="AM35" s="168"/>
      <c r="AN35" s="169">
        <f t="shared" ref="AN35" si="9">X35-AJ35</f>
        <v>0</v>
      </c>
      <c r="AO35" s="169"/>
      <c r="AP35" s="169"/>
      <c r="AQ35" s="169"/>
      <c r="AR35" s="20"/>
    </row>
    <row r="36" spans="1:44" ht="15" customHeight="1" x14ac:dyDescent="0.4">
      <c r="A36" s="13"/>
      <c r="B36" s="232"/>
      <c r="C36" s="232"/>
      <c r="D36" s="232"/>
      <c r="E36" s="232"/>
      <c r="F36" s="232"/>
      <c r="G36" s="232"/>
      <c r="H36" s="232"/>
      <c r="I36" s="226"/>
      <c r="J36" s="226"/>
      <c r="K36" s="226"/>
      <c r="L36" s="226"/>
      <c r="M36" s="226"/>
      <c r="N36" s="226"/>
      <c r="O36" s="226"/>
      <c r="P36" s="159"/>
      <c r="Q36" s="64"/>
      <c r="R36" s="64"/>
      <c r="S36" s="14"/>
      <c r="T36" s="240"/>
      <c r="U36" s="240"/>
      <c r="V36" s="240"/>
      <c r="W36" s="240"/>
      <c r="X36" s="170"/>
      <c r="Y36" s="170"/>
      <c r="Z36" s="170"/>
      <c r="AA36" s="170"/>
      <c r="AB36" s="167"/>
      <c r="AC36" s="167"/>
      <c r="AD36" s="167"/>
      <c r="AE36" s="167"/>
      <c r="AF36" s="167"/>
      <c r="AG36" s="167"/>
      <c r="AH36" s="167"/>
      <c r="AI36" s="167"/>
      <c r="AJ36" s="168"/>
      <c r="AK36" s="168"/>
      <c r="AL36" s="168"/>
      <c r="AM36" s="168"/>
      <c r="AN36" s="169"/>
      <c r="AO36" s="169"/>
      <c r="AP36" s="169"/>
      <c r="AQ36" s="169"/>
      <c r="AR36" s="20"/>
    </row>
    <row r="37" spans="1:44" ht="15" customHeight="1" x14ac:dyDescent="0.4">
      <c r="A37" s="13"/>
      <c r="B37" s="232" t="str">
        <f>IF(OR(I18="",I18="プルダウンから選択"),"市(町)",I18)</f>
        <v>市(町)</v>
      </c>
      <c r="C37" s="232"/>
      <c r="D37" s="232"/>
      <c r="E37" s="232"/>
      <c r="F37" s="232"/>
      <c r="G37" s="232"/>
      <c r="H37" s="232"/>
      <c r="I37" s="226" t="str">
        <f>IF($I$18="","",IFERROR(計算表!$O$15,""))</f>
        <v/>
      </c>
      <c r="J37" s="226"/>
      <c r="K37" s="226"/>
      <c r="L37" s="226"/>
      <c r="M37" s="226"/>
      <c r="N37" s="226"/>
      <c r="O37" s="226"/>
      <c r="P37" s="159" t="s">
        <v>25</v>
      </c>
      <c r="Q37" s="64"/>
      <c r="R37" s="64"/>
      <c r="S37" s="14"/>
      <c r="T37" s="240" t="str">
        <f>IFERROR(計算表!J13,"７年度目")</f>
        <v>７年度目</v>
      </c>
      <c r="U37" s="240"/>
      <c r="V37" s="240"/>
      <c r="W37" s="240"/>
      <c r="X37" s="170">
        <f>IFERROR(計算表!L13,0)</f>
        <v>0</v>
      </c>
      <c r="Y37" s="170"/>
      <c r="Z37" s="170"/>
      <c r="AA37" s="170"/>
      <c r="AB37" s="167">
        <f>IFERROR(計算表!Q13,0)</f>
        <v>0</v>
      </c>
      <c r="AC37" s="167"/>
      <c r="AD37" s="167"/>
      <c r="AE37" s="167"/>
      <c r="AF37" s="167">
        <f>IFERROR(計算表!O13,0)</f>
        <v>0</v>
      </c>
      <c r="AG37" s="167"/>
      <c r="AH37" s="167"/>
      <c r="AI37" s="167"/>
      <c r="AJ37" s="168">
        <f t="shared" ref="AJ37" si="10">SUM(AB37:AI38)</f>
        <v>0</v>
      </c>
      <c r="AK37" s="168"/>
      <c r="AL37" s="168"/>
      <c r="AM37" s="168"/>
      <c r="AN37" s="169">
        <f>X37-AJ37</f>
        <v>0</v>
      </c>
      <c r="AO37" s="169"/>
      <c r="AP37" s="169"/>
      <c r="AQ37" s="169"/>
      <c r="AR37" s="20"/>
    </row>
    <row r="38" spans="1:44" ht="15" customHeight="1" thickBot="1" x14ac:dyDescent="0.45">
      <c r="A38" s="13"/>
      <c r="B38" s="233"/>
      <c r="C38" s="233"/>
      <c r="D38" s="233"/>
      <c r="E38" s="233"/>
      <c r="F38" s="233"/>
      <c r="G38" s="233"/>
      <c r="H38" s="233"/>
      <c r="I38" s="227"/>
      <c r="J38" s="227"/>
      <c r="K38" s="227"/>
      <c r="L38" s="227"/>
      <c r="M38" s="227"/>
      <c r="N38" s="227"/>
      <c r="O38" s="227"/>
      <c r="P38" s="159"/>
      <c r="Q38" s="64"/>
      <c r="R38" s="64"/>
      <c r="S38" s="14"/>
      <c r="T38" s="240"/>
      <c r="U38" s="240"/>
      <c r="V38" s="240"/>
      <c r="W38" s="240"/>
      <c r="X38" s="170"/>
      <c r="Y38" s="170"/>
      <c r="Z38" s="170"/>
      <c r="AA38" s="170"/>
      <c r="AB38" s="167"/>
      <c r="AC38" s="167"/>
      <c r="AD38" s="167"/>
      <c r="AE38" s="167"/>
      <c r="AF38" s="167"/>
      <c r="AG38" s="167"/>
      <c r="AH38" s="167"/>
      <c r="AI38" s="167"/>
      <c r="AJ38" s="168"/>
      <c r="AK38" s="168"/>
      <c r="AL38" s="168"/>
      <c r="AM38" s="168"/>
      <c r="AN38" s="169"/>
      <c r="AO38" s="169"/>
      <c r="AP38" s="169"/>
      <c r="AQ38" s="169"/>
      <c r="AR38" s="20"/>
    </row>
    <row r="39" spans="1:44" ht="15" customHeight="1" thickTop="1" x14ac:dyDescent="0.4">
      <c r="A39" s="13"/>
      <c r="B39" s="230" t="s">
        <v>49</v>
      </c>
      <c r="C39" s="230"/>
      <c r="D39" s="230"/>
      <c r="E39" s="230"/>
      <c r="F39" s="230"/>
      <c r="G39" s="230"/>
      <c r="H39" s="230"/>
      <c r="I39" s="228" t="str">
        <f>IF($I$35="","",SUM($I$35:$O$38))</f>
        <v/>
      </c>
      <c r="J39" s="228"/>
      <c r="K39" s="228"/>
      <c r="L39" s="228"/>
      <c r="M39" s="228"/>
      <c r="N39" s="228"/>
      <c r="O39" s="228"/>
      <c r="P39" s="159" t="s">
        <v>25</v>
      </c>
      <c r="Q39" s="64"/>
      <c r="R39" s="64"/>
      <c r="S39" s="14"/>
      <c r="T39" s="149" t="str">
        <f>IF(X39="","",計算表!J14)</f>
        <v/>
      </c>
      <c r="U39" s="149"/>
      <c r="V39" s="149"/>
      <c r="W39" s="149"/>
      <c r="X39" s="151" t="str">
        <f>IF(計算表!L14=0,"",IFERROR(計算表!L14,0))</f>
        <v/>
      </c>
      <c r="Y39" s="151"/>
      <c r="Z39" s="151"/>
      <c r="AA39" s="151"/>
      <c r="AB39" s="153" t="str">
        <f>IF(X39="","",IFERROR(計算表!Q14,0))</f>
        <v/>
      </c>
      <c r="AC39" s="153"/>
      <c r="AD39" s="153"/>
      <c r="AE39" s="153"/>
      <c r="AF39" s="153" t="str">
        <f>IF(X39="","",IFERROR(計算表!O14,0))</f>
        <v/>
      </c>
      <c r="AG39" s="153"/>
      <c r="AH39" s="153"/>
      <c r="AI39" s="153"/>
      <c r="AJ39" s="155" t="str">
        <f>IF(X39="","",SUM(AB39:AI40))</f>
        <v/>
      </c>
      <c r="AK39" s="155"/>
      <c r="AL39" s="155"/>
      <c r="AM39" s="155"/>
      <c r="AN39" s="157" t="str">
        <f>IFERROR(X39-AJ39,"")</f>
        <v/>
      </c>
      <c r="AO39" s="157"/>
      <c r="AP39" s="157"/>
      <c r="AQ39" s="157"/>
      <c r="AR39" s="20"/>
    </row>
    <row r="40" spans="1:44" ht="15" customHeight="1" thickBot="1" x14ac:dyDescent="0.45">
      <c r="A40" s="13"/>
      <c r="B40" s="231"/>
      <c r="C40" s="231"/>
      <c r="D40" s="231"/>
      <c r="E40" s="231"/>
      <c r="F40" s="231"/>
      <c r="G40" s="231"/>
      <c r="H40" s="231"/>
      <c r="I40" s="229"/>
      <c r="J40" s="229"/>
      <c r="K40" s="229"/>
      <c r="L40" s="229"/>
      <c r="M40" s="229"/>
      <c r="N40" s="229"/>
      <c r="O40" s="229"/>
      <c r="P40" s="159"/>
      <c r="Q40" s="64"/>
      <c r="R40" s="64"/>
      <c r="S40" s="14"/>
      <c r="T40" s="150"/>
      <c r="U40" s="150"/>
      <c r="V40" s="150"/>
      <c r="W40" s="150"/>
      <c r="X40" s="152"/>
      <c r="Y40" s="152"/>
      <c r="Z40" s="152"/>
      <c r="AA40" s="152"/>
      <c r="AB40" s="154"/>
      <c r="AC40" s="154"/>
      <c r="AD40" s="154"/>
      <c r="AE40" s="154"/>
      <c r="AF40" s="154"/>
      <c r="AG40" s="154"/>
      <c r="AH40" s="154"/>
      <c r="AI40" s="154"/>
      <c r="AJ40" s="156"/>
      <c r="AK40" s="156"/>
      <c r="AL40" s="156"/>
      <c r="AM40" s="156"/>
      <c r="AN40" s="158"/>
      <c r="AO40" s="158"/>
      <c r="AP40" s="158"/>
      <c r="AQ40" s="158"/>
      <c r="AR40" s="20"/>
    </row>
    <row r="41" spans="1:44" ht="15" customHeight="1" thickTop="1" thickBot="1" x14ac:dyDescent="0.2">
      <c r="A41" s="13"/>
      <c r="B41" s="30"/>
      <c r="C41" s="30"/>
      <c r="D41" s="30"/>
      <c r="E41" s="30"/>
      <c r="F41" s="30"/>
      <c r="G41" s="30"/>
      <c r="H41" s="14"/>
      <c r="I41" s="14"/>
      <c r="J41" s="14"/>
      <c r="K41" s="14"/>
      <c r="L41" s="14"/>
      <c r="M41" s="14"/>
      <c r="N41" s="14"/>
      <c r="O41" s="14"/>
      <c r="P41" s="64"/>
      <c r="Q41" s="64"/>
      <c r="R41" s="64"/>
      <c r="S41" s="14"/>
      <c r="T41" s="293" t="s">
        <v>44</v>
      </c>
      <c r="U41" s="293"/>
      <c r="V41" s="293"/>
      <c r="W41" s="293"/>
      <c r="X41" s="151">
        <f>SUM(X25:AA40)</f>
        <v>0</v>
      </c>
      <c r="Y41" s="151"/>
      <c r="Z41" s="151"/>
      <c r="AA41" s="151"/>
      <c r="AB41" s="153">
        <f>SUM(AB25:AE40)</f>
        <v>0</v>
      </c>
      <c r="AC41" s="153"/>
      <c r="AD41" s="153"/>
      <c r="AE41" s="153"/>
      <c r="AF41" s="153">
        <f>SUM(AF25:AI40)</f>
        <v>0</v>
      </c>
      <c r="AG41" s="153"/>
      <c r="AH41" s="153"/>
      <c r="AI41" s="153"/>
      <c r="AJ41" s="155">
        <f>SUM(AB41:AI42)</f>
        <v>0</v>
      </c>
      <c r="AK41" s="155"/>
      <c r="AL41" s="155"/>
      <c r="AM41" s="155"/>
      <c r="AN41" s="157">
        <f>X41-AJ41</f>
        <v>0</v>
      </c>
      <c r="AO41" s="157"/>
      <c r="AP41" s="157"/>
      <c r="AQ41" s="157"/>
      <c r="AR41" s="20"/>
    </row>
    <row r="42" spans="1:44" ht="15" customHeight="1" x14ac:dyDescent="0.4">
      <c r="A42" s="13"/>
      <c r="B42" s="110" t="s">
        <v>56</v>
      </c>
      <c r="C42" s="111"/>
      <c r="D42" s="111"/>
      <c r="E42" s="111"/>
      <c r="F42" s="111"/>
      <c r="G42" s="111"/>
      <c r="H42" s="112"/>
      <c r="I42" s="123" t="s">
        <v>51</v>
      </c>
      <c r="J42" s="124"/>
      <c r="K42" s="124"/>
      <c r="L42" s="131" t="str">
        <f>IF($AN$41=0,"",$AN$41)</f>
        <v/>
      </c>
      <c r="M42" s="131"/>
      <c r="N42" s="131"/>
      <c r="O42" s="132"/>
      <c r="P42" s="159" t="s">
        <v>25</v>
      </c>
      <c r="Q42" s="64"/>
      <c r="R42" s="64"/>
      <c r="S42" s="25"/>
      <c r="T42" s="294"/>
      <c r="U42" s="294"/>
      <c r="V42" s="294"/>
      <c r="W42" s="294"/>
      <c r="X42" s="170"/>
      <c r="Y42" s="170"/>
      <c r="Z42" s="170"/>
      <c r="AA42" s="170"/>
      <c r="AB42" s="167"/>
      <c r="AC42" s="167"/>
      <c r="AD42" s="167"/>
      <c r="AE42" s="167"/>
      <c r="AF42" s="167"/>
      <c r="AG42" s="167"/>
      <c r="AH42" s="167"/>
      <c r="AI42" s="167"/>
      <c r="AJ42" s="168"/>
      <c r="AK42" s="168"/>
      <c r="AL42" s="168"/>
      <c r="AM42" s="168"/>
      <c r="AN42" s="169"/>
      <c r="AO42" s="169"/>
      <c r="AP42" s="169"/>
      <c r="AQ42" s="169"/>
      <c r="AR42" s="20"/>
    </row>
    <row r="43" spans="1:44" ht="15" customHeight="1" x14ac:dyDescent="0.4">
      <c r="A43" s="13"/>
      <c r="B43" s="113"/>
      <c r="C43" s="114"/>
      <c r="D43" s="114"/>
      <c r="E43" s="114"/>
      <c r="F43" s="114"/>
      <c r="G43" s="114"/>
      <c r="H43" s="115"/>
      <c r="I43" s="119"/>
      <c r="J43" s="120"/>
      <c r="K43" s="120"/>
      <c r="L43" s="129"/>
      <c r="M43" s="129"/>
      <c r="N43" s="129"/>
      <c r="O43" s="130"/>
      <c r="P43" s="159"/>
      <c r="Q43" s="64"/>
      <c r="R43" s="64"/>
      <c r="S43" s="25"/>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20"/>
    </row>
    <row r="44" spans="1:44" ht="15" customHeight="1" x14ac:dyDescent="0.4">
      <c r="A44" s="13"/>
      <c r="B44" s="113"/>
      <c r="C44" s="114"/>
      <c r="D44" s="114"/>
      <c r="E44" s="114"/>
      <c r="F44" s="114"/>
      <c r="G44" s="114"/>
      <c r="H44" s="115"/>
      <c r="I44" s="119" t="s">
        <v>55</v>
      </c>
      <c r="J44" s="120"/>
      <c r="K44" s="120"/>
      <c r="L44" s="129" t="str">
        <f>IFERROR(ROUND(L42/7,0),"")</f>
        <v/>
      </c>
      <c r="M44" s="129"/>
      <c r="N44" s="129"/>
      <c r="O44" s="130"/>
      <c r="P44" s="159" t="s">
        <v>25</v>
      </c>
      <c r="Q44" s="64"/>
      <c r="R44" s="64"/>
      <c r="S44" s="25"/>
      <c r="T44" s="25"/>
      <c r="U44" s="25"/>
      <c r="V44" s="25"/>
      <c r="W44" s="25"/>
      <c r="X44" s="25"/>
      <c r="Y44" s="25"/>
      <c r="Z44" s="25"/>
      <c r="AA44" s="25"/>
      <c r="AB44" s="25"/>
      <c r="AC44" s="25"/>
      <c r="AD44" s="25"/>
      <c r="AE44" s="26"/>
      <c r="AF44" s="26"/>
      <c r="AG44" s="14"/>
      <c r="AH44" s="14"/>
      <c r="AI44" s="14"/>
      <c r="AJ44" s="14"/>
      <c r="AK44" s="14"/>
      <c r="AL44" s="14"/>
      <c r="AM44" s="14"/>
      <c r="AN44" s="14"/>
      <c r="AO44" s="14"/>
      <c r="AP44" s="14"/>
      <c r="AQ44" s="14"/>
      <c r="AR44" s="20"/>
    </row>
    <row r="45" spans="1:44" ht="15" customHeight="1" x14ac:dyDescent="0.4">
      <c r="A45" s="13"/>
      <c r="B45" s="113"/>
      <c r="C45" s="114"/>
      <c r="D45" s="114"/>
      <c r="E45" s="114"/>
      <c r="F45" s="114"/>
      <c r="G45" s="114"/>
      <c r="H45" s="115"/>
      <c r="I45" s="119"/>
      <c r="J45" s="120"/>
      <c r="K45" s="120"/>
      <c r="L45" s="129"/>
      <c r="M45" s="129"/>
      <c r="N45" s="129"/>
      <c r="O45" s="130"/>
      <c r="P45" s="159"/>
      <c r="Q45" s="64"/>
      <c r="R45" s="64"/>
      <c r="S45" s="26"/>
      <c r="T45" s="292"/>
      <c r="U45" s="292"/>
      <c r="V45" s="292"/>
      <c r="W45" s="292"/>
      <c r="X45" s="24" t="s">
        <v>67</v>
      </c>
      <c r="Y45" s="25"/>
      <c r="Z45" s="25"/>
      <c r="AA45" s="25"/>
      <c r="AB45" s="25"/>
      <c r="AC45" s="25"/>
      <c r="AD45" s="25"/>
      <c r="AE45" s="26"/>
      <c r="AF45" s="26"/>
      <c r="AG45" s="14"/>
      <c r="AH45" s="14"/>
      <c r="AI45" s="14"/>
      <c r="AJ45" s="14"/>
      <c r="AK45" s="14"/>
      <c r="AL45" s="14"/>
      <c r="AM45" s="14"/>
      <c r="AN45" s="14"/>
      <c r="AO45" s="14"/>
      <c r="AP45" s="14"/>
      <c r="AQ45" s="14"/>
      <c r="AR45" s="20"/>
    </row>
    <row r="46" spans="1:44" ht="15" customHeight="1" x14ac:dyDescent="0.4">
      <c r="A46" s="13"/>
      <c r="B46" s="113"/>
      <c r="C46" s="114"/>
      <c r="D46" s="114"/>
      <c r="E46" s="114"/>
      <c r="F46" s="114"/>
      <c r="G46" s="114"/>
      <c r="H46" s="115"/>
      <c r="I46" s="119" t="s">
        <v>52</v>
      </c>
      <c r="J46" s="120"/>
      <c r="K46" s="120"/>
      <c r="L46" s="125" t="str">
        <f>IFERROR(ROUND(計算表!U15*100,2),"")</f>
        <v/>
      </c>
      <c r="M46" s="125"/>
      <c r="N46" s="125"/>
      <c r="O46" s="126"/>
      <c r="P46" s="159" t="s">
        <v>53</v>
      </c>
      <c r="Q46" s="64"/>
      <c r="R46" s="64"/>
      <c r="S46" s="26"/>
      <c r="T46" s="300"/>
      <c r="U46" s="300"/>
      <c r="V46" s="300"/>
      <c r="W46" s="300"/>
      <c r="X46" s="24" t="s">
        <v>69</v>
      </c>
      <c r="Y46" s="25"/>
      <c r="Z46" s="25"/>
      <c r="AA46" s="25"/>
      <c r="AB46" s="25"/>
      <c r="AC46" s="25"/>
      <c r="AD46" s="25"/>
      <c r="AE46" s="26"/>
      <c r="AF46" s="26"/>
      <c r="AG46" s="14"/>
      <c r="AH46" s="14"/>
      <c r="AI46" s="14"/>
      <c r="AJ46" s="14"/>
      <c r="AK46" s="14"/>
      <c r="AL46" s="14"/>
      <c r="AM46" s="14"/>
      <c r="AN46" s="14"/>
      <c r="AO46" s="14"/>
      <c r="AP46" s="14"/>
      <c r="AQ46" s="14"/>
      <c r="AR46" s="20"/>
    </row>
    <row r="47" spans="1:44" ht="15" customHeight="1" thickBot="1" x14ac:dyDescent="0.45">
      <c r="A47" s="13"/>
      <c r="B47" s="116"/>
      <c r="C47" s="117"/>
      <c r="D47" s="117"/>
      <c r="E47" s="117"/>
      <c r="F47" s="117"/>
      <c r="G47" s="117"/>
      <c r="H47" s="118"/>
      <c r="I47" s="121"/>
      <c r="J47" s="122"/>
      <c r="K47" s="122"/>
      <c r="L47" s="127"/>
      <c r="M47" s="127"/>
      <c r="N47" s="127"/>
      <c r="O47" s="128"/>
      <c r="P47" s="159"/>
      <c r="Q47" s="64"/>
      <c r="R47" s="64"/>
      <c r="S47" s="26"/>
      <c r="T47" s="301"/>
      <c r="U47" s="301"/>
      <c r="V47" s="301"/>
      <c r="W47" s="301"/>
      <c r="X47" s="24" t="s">
        <v>70</v>
      </c>
      <c r="Y47" s="25"/>
      <c r="Z47" s="25"/>
      <c r="AA47" s="25"/>
      <c r="AB47" s="26"/>
      <c r="AC47" s="26"/>
      <c r="AD47" s="26"/>
      <c r="AE47" s="26"/>
      <c r="AF47" s="26"/>
      <c r="AG47" s="14"/>
      <c r="AH47" s="14"/>
      <c r="AI47" s="14"/>
      <c r="AJ47" s="14"/>
      <c r="AK47" s="14"/>
      <c r="AL47" s="14"/>
      <c r="AM47" s="14"/>
      <c r="AN47" s="14"/>
      <c r="AO47" s="14"/>
      <c r="AP47" s="14"/>
      <c r="AQ47" s="14"/>
      <c r="AR47" s="20"/>
    </row>
    <row r="48" spans="1:44" ht="15" customHeight="1" thickBot="1" x14ac:dyDescent="0.45">
      <c r="A48" s="29"/>
      <c r="B48" s="83" t="str">
        <f>IF($L$46=0,"(注)平均利率が0.00%であっても、利息が無いわけではありませんのでご注意ください。","")</f>
        <v/>
      </c>
      <c r="C48" s="83"/>
      <c r="D48" s="83"/>
      <c r="E48" s="83"/>
      <c r="F48" s="83"/>
      <c r="G48" s="83"/>
      <c r="H48" s="83"/>
      <c r="I48" s="83"/>
      <c r="J48" s="83"/>
      <c r="K48" s="83"/>
      <c r="L48" s="83"/>
      <c r="M48" s="83"/>
      <c r="N48" s="83"/>
      <c r="O48" s="83"/>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8"/>
    </row>
    <row r="49" spans="33:33" ht="14.25" thickTop="1" x14ac:dyDescent="0.4"/>
    <row r="61" spans="33:33" x14ac:dyDescent="0.4">
      <c r="AG61" s="10"/>
    </row>
  </sheetData>
  <sheetProtection algorithmName="SHA-512" hashValue="QqT8/yCR4PwbN14HWMeQYALdp5i9lReU3KzOHrEbSw0zi/SQMXYfJ8cxGyrUZ6YmbPv2s2aLIPLqLD/bk2PD3w==" saltValue="zJrGrI3CgVL/J2Jstv/IFQ==" spinCount="100000" sheet="1" selectLockedCells="1"/>
  <mergeCells count="149">
    <mergeCell ref="B4:Z5"/>
    <mergeCell ref="T46:W46"/>
    <mergeCell ref="T47:W47"/>
    <mergeCell ref="AD15:AG16"/>
    <mergeCell ref="AD13:AG14"/>
    <mergeCell ref="AD17:AG18"/>
    <mergeCell ref="T37:W38"/>
    <mergeCell ref="T23:W24"/>
    <mergeCell ref="X31:AA32"/>
    <mergeCell ref="AB31:AE32"/>
    <mergeCell ref="AF31:AI32"/>
    <mergeCell ref="X35:AA36"/>
    <mergeCell ref="AB35:AE36"/>
    <mergeCell ref="AF35:AI36"/>
    <mergeCell ref="T27:W28"/>
    <mergeCell ref="T29:W30"/>
    <mergeCell ref="T31:W32"/>
    <mergeCell ref="T33:W34"/>
    <mergeCell ref="T35:W36"/>
    <mergeCell ref="AF24:AI24"/>
    <mergeCell ref="AJ22:AM24"/>
    <mergeCell ref="AN22:AQ24"/>
    <mergeCell ref="AN41:AQ42"/>
    <mergeCell ref="AB22:AI22"/>
    <mergeCell ref="AF23:AI23"/>
    <mergeCell ref="AB23:AE23"/>
    <mergeCell ref="T45:W45"/>
    <mergeCell ref="T41:W42"/>
    <mergeCell ref="X41:AA42"/>
    <mergeCell ref="AB41:AE42"/>
    <mergeCell ref="AF41:AI42"/>
    <mergeCell ref="AJ41:AM42"/>
    <mergeCell ref="AJ35:AM36"/>
    <mergeCell ref="AN35:AQ36"/>
    <mergeCell ref="X37:AA38"/>
    <mergeCell ref="AB37:AE38"/>
    <mergeCell ref="AF37:AI38"/>
    <mergeCell ref="AJ37:AM38"/>
    <mergeCell ref="AN37:AQ38"/>
    <mergeCell ref="AJ31:AM32"/>
    <mergeCell ref="AN31:AQ32"/>
    <mergeCell ref="X33:AA34"/>
    <mergeCell ref="AJ29:AM30"/>
    <mergeCell ref="AN29:AQ30"/>
    <mergeCell ref="AJ25:AM26"/>
    <mergeCell ref="AN25:AQ26"/>
    <mergeCell ref="X27:AA28"/>
    <mergeCell ref="AB27:AE28"/>
    <mergeCell ref="AF27:AI28"/>
    <mergeCell ref="P46:P47"/>
    <mergeCell ref="P44:P45"/>
    <mergeCell ref="P42:P43"/>
    <mergeCell ref="AB29:AE30"/>
    <mergeCell ref="AF29:AI30"/>
    <mergeCell ref="AF33:AI34"/>
    <mergeCell ref="AJ33:AM34"/>
    <mergeCell ref="AN33:AQ34"/>
    <mergeCell ref="Q8:R9"/>
    <mergeCell ref="S10:AC11"/>
    <mergeCell ref="S8:AC9"/>
    <mergeCell ref="T25:W26"/>
    <mergeCell ref="E18:H19"/>
    <mergeCell ref="B16:D19"/>
    <mergeCell ref="X22:AA24"/>
    <mergeCell ref="AB24:AE24"/>
    <mergeCell ref="B23:H24"/>
    <mergeCell ref="I23:O24"/>
    <mergeCell ref="S15:AC16"/>
    <mergeCell ref="S13:AC14"/>
    <mergeCell ref="Q17:AC18"/>
    <mergeCell ref="Q19:AG20"/>
    <mergeCell ref="AD10:AG12"/>
    <mergeCell ref="Q10:R12"/>
    <mergeCell ref="S12:AC12"/>
    <mergeCell ref="I16:J17"/>
    <mergeCell ref="X25:AA26"/>
    <mergeCell ref="AB25:AE26"/>
    <mergeCell ref="AF25:AI26"/>
    <mergeCell ref="AI17:AM18"/>
    <mergeCell ref="K16:K17"/>
    <mergeCell ref="L16:M17"/>
    <mergeCell ref="N16:N17"/>
    <mergeCell ref="AM1:AQ2"/>
    <mergeCell ref="AA3:AQ6"/>
    <mergeCell ref="AN17:AQ18"/>
    <mergeCell ref="B14:H15"/>
    <mergeCell ref="B12:H13"/>
    <mergeCell ref="B10:H11"/>
    <mergeCell ref="B8:H9"/>
    <mergeCell ref="I18:N19"/>
    <mergeCell ref="I14:N15"/>
    <mergeCell ref="I12:N13"/>
    <mergeCell ref="I10:N11"/>
    <mergeCell ref="I8:N9"/>
    <mergeCell ref="O8:O9"/>
    <mergeCell ref="O10:O11"/>
    <mergeCell ref="O12:O13"/>
    <mergeCell ref="O14:O15"/>
    <mergeCell ref="AI12:AQ13"/>
    <mergeCell ref="B1:Y3"/>
    <mergeCell ref="AD8:AG9"/>
    <mergeCell ref="E16:H17"/>
    <mergeCell ref="B6:N7"/>
    <mergeCell ref="Q6:Z7"/>
    <mergeCell ref="Q15:R16"/>
    <mergeCell ref="B21:O22"/>
    <mergeCell ref="AI14:AM16"/>
    <mergeCell ref="AN14:AQ16"/>
    <mergeCell ref="T39:W40"/>
    <mergeCell ref="X39:AA40"/>
    <mergeCell ref="AB39:AE40"/>
    <mergeCell ref="AF39:AI40"/>
    <mergeCell ref="AJ39:AM40"/>
    <mergeCell ref="AN39:AQ40"/>
    <mergeCell ref="P31:P32"/>
    <mergeCell ref="P25:P26"/>
    <mergeCell ref="P29:P30"/>
    <mergeCell ref="Q13:R14"/>
    <mergeCell ref="P27:R28"/>
    <mergeCell ref="P39:P40"/>
    <mergeCell ref="P37:P38"/>
    <mergeCell ref="P35:P36"/>
    <mergeCell ref="B33:O34"/>
    <mergeCell ref="AB33:AE34"/>
    <mergeCell ref="AJ27:AM28"/>
    <mergeCell ref="AN27:AQ28"/>
    <mergeCell ref="X29:AA30"/>
    <mergeCell ref="B48:O48"/>
    <mergeCell ref="B31:H32"/>
    <mergeCell ref="I31:O32"/>
    <mergeCell ref="I29:O30"/>
    <mergeCell ref="I27:O28"/>
    <mergeCell ref="I25:O26"/>
    <mergeCell ref="B25:H26"/>
    <mergeCell ref="B27:H28"/>
    <mergeCell ref="B29:H30"/>
    <mergeCell ref="B42:H47"/>
    <mergeCell ref="I46:K47"/>
    <mergeCell ref="I44:K45"/>
    <mergeCell ref="I42:K43"/>
    <mergeCell ref="L46:O47"/>
    <mergeCell ref="L44:O45"/>
    <mergeCell ref="L42:O43"/>
    <mergeCell ref="I35:O36"/>
    <mergeCell ref="I37:O38"/>
    <mergeCell ref="I39:O40"/>
    <mergeCell ref="B39:H40"/>
    <mergeCell ref="B37:H38"/>
    <mergeCell ref="B35:H36"/>
  </mergeCells>
  <phoneticPr fontId="2"/>
  <conditionalFormatting sqref="AD13">
    <cfRule type="expression" dxfId="0" priority="2">
      <formula>OR($AD$10="はい",$AD$10="プルダウンから選択")</formula>
    </cfRule>
  </conditionalFormatting>
  <dataValidations count="7">
    <dataValidation operator="lessThanOrEqual" allowBlank="1" showInputMessage="1" showErrorMessage="1" errorTitle="上限額オーバー" error="延払貸与制度で申込できる上限金額は【6,000万円】です。" sqref="I14:M14" xr:uid="{78EBDD32-FC18-45F0-A144-835BB166AF6A}"/>
    <dataValidation type="whole" errorStyle="information" operator="lessThanOrEqual" allowBlank="1" showInputMessage="1" showErrorMessage="1" errorTitle="貸与限度額　超過" error="貸与限度額である【6,000万円】を超えています。_x000a_超過した額について、頭金の納入が必要です。" sqref="I8:M8 I10:M10" xr:uid="{CDCF4817-B35C-4E59-AA17-A1094C32211F}">
      <formula1>60000000</formula1>
    </dataValidation>
    <dataValidation type="whole" allowBlank="1" showInputMessage="1" showErrorMessage="1" errorTitle="頭金設定範囲外" error="頭金は、機械設備価格の【0～50％】の範囲内で設定してください。" sqref="I12:M12" xr:uid="{C4849B73-F84C-4483-B845-98833AFF609E}">
      <formula1>0</formula1>
      <formula2>I8*0.5</formula2>
    </dataValidation>
    <dataValidation type="list" allowBlank="1" showInputMessage="1" showErrorMessage="1" sqref="AD13" xr:uid="{0FBCC30F-45F5-40DD-A32A-FAFED14A19C3}">
      <formula1>"はい,いいえ"</formula1>
    </dataValidation>
    <dataValidation type="list" allowBlank="1" showInputMessage="1" showErrorMessage="1" sqref="AD10 AD8" xr:uid="{7BAC9ECA-9D42-49D5-AE95-B1F462647E14}">
      <formula1>"プルダウンから選択,はい,いいえ"</formula1>
    </dataValidation>
    <dataValidation type="list" allowBlank="1" showInputMessage="1" sqref="I16:J17" xr:uid="{38037BBF-62F6-4470-B4D3-6F9FBB04948A}">
      <formula1>"選択,2024,2025,2026"</formula1>
    </dataValidation>
    <dataValidation type="list" allowBlank="1" showInputMessage="1" showErrorMessage="1" sqref="L16:M17" xr:uid="{72826C73-FDE9-428E-B180-FFA9FD357A2B}">
      <formula1>"選択,1,2,3,4,5,6,7,8,9,10,11,12"</formula1>
    </dataValidation>
  </dataValidations>
  <hyperlinks>
    <hyperlink ref="S12:AC12" r:id="rId1" display="【石川県の経営革新計画HP】" xr:uid="{46E4F012-2DAE-4F2E-B293-736484BA6D9E}"/>
  </hyperlinks>
  <printOptions horizontalCentered="1" verticalCentered="1"/>
  <pageMargins left="0.31496062992125984" right="0.31496062992125984" top="0.31496062992125984" bottom="0.31496062992125984" header="0.31496062992125984" footer="0.31496062992125984"/>
  <pageSetup paperSize="9" scale="76" fitToHeight="0" orientation="landscape" r:id="rId2"/>
  <ignoredErrors>
    <ignoredError sqref="I10" unlockedFormula="1"/>
    <ignoredError sqref="AJ39" formula="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21FC6A3-FBE0-42DC-B37B-3826077A89ED}">
          <x14:formula1>
            <xm:f>市町データ等!$B$3:$B$20</xm:f>
          </x14:formula1>
          <xm:sqref>I18:M18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76CC-2462-49F5-91FC-3F98FAD5608B}">
  <dimension ref="A1:U90"/>
  <sheetViews>
    <sheetView workbookViewId="0">
      <selection activeCell="C4" sqref="C4:C5"/>
    </sheetView>
  </sheetViews>
  <sheetFormatPr defaultRowHeight="14.25" x14ac:dyDescent="0.4"/>
  <cols>
    <col min="1" max="1" width="2.125" style="34" customWidth="1"/>
    <col min="2" max="2" width="10.625" style="34" customWidth="1"/>
    <col min="3" max="3" width="18.375" style="34" customWidth="1"/>
    <col min="4" max="5" width="17.25" style="34" customWidth="1"/>
    <col min="6" max="6" width="17" style="34" customWidth="1"/>
    <col min="7" max="7" width="10.25" style="35" bestFit="1" customWidth="1"/>
    <col min="8" max="8" width="10.25" style="35" customWidth="1"/>
    <col min="9" max="9" width="2" style="35" customWidth="1"/>
    <col min="10" max="10" width="9.25" style="35" bestFit="1" customWidth="1"/>
    <col min="11" max="11" width="14.625" style="35" customWidth="1"/>
    <col min="12" max="12" width="14.375" style="34" customWidth="1"/>
    <col min="13" max="13" width="14.625" style="34" bestFit="1" customWidth="1"/>
    <col min="14" max="17" width="14.375" style="34" customWidth="1"/>
    <col min="18" max="18" width="15.5" style="36" customWidth="1"/>
    <col min="19" max="19" width="11" style="35" customWidth="1"/>
    <col min="20" max="20" width="13.75" style="35" bestFit="1" customWidth="1"/>
    <col min="21" max="21" width="12.375" style="35" bestFit="1" customWidth="1"/>
    <col min="22" max="16384" width="9" style="35"/>
  </cols>
  <sheetData>
    <row r="1" spans="2:21" ht="10.5" customHeight="1" x14ac:dyDescent="0.4"/>
    <row r="2" spans="2:21" ht="18.75" customHeight="1" x14ac:dyDescent="0.4">
      <c r="B2" s="37" t="s">
        <v>39</v>
      </c>
      <c r="C2" s="38">
        <f>VLOOKUP(シミュレーション!$I$18,市町データ等!$B:$F,2,0)/100</f>
        <v>0</v>
      </c>
      <c r="E2" s="37" t="s">
        <v>86</v>
      </c>
      <c r="F2" s="39" t="e">
        <f>VLOOKUP($G$2,市町データ等!$L:$M,2,0)</f>
        <v>#VALUE!</v>
      </c>
      <c r="G2" s="332" t="e">
        <f>MONTH(C7)</f>
        <v>#VALUE!</v>
      </c>
      <c r="H2" s="333"/>
      <c r="M2" s="37" t="s">
        <v>46</v>
      </c>
      <c r="N2" s="317" t="str">
        <f>シミュレーション!AN17</f>
        <v/>
      </c>
      <c r="O2" s="318"/>
      <c r="P2" s="317" t="str">
        <f>シミュレーション!AD17</f>
        <v/>
      </c>
      <c r="Q2" s="318"/>
      <c r="R2" s="37">
        <f>(VLOOKUP($N$5,市町データ等!$B:$G,6,0))</f>
        <v>0</v>
      </c>
    </row>
    <row r="3" spans="2:21" ht="10.5" customHeight="1" x14ac:dyDescent="0.4"/>
    <row r="4" spans="2:21" ht="19.5" customHeight="1" x14ac:dyDescent="0.4">
      <c r="B4" s="337" t="s">
        <v>40</v>
      </c>
      <c r="C4" s="335" t="e">
        <f>DATE(シミュレーション!$I$16,シミュレーション!$L$16,25)</f>
        <v>#VALUE!</v>
      </c>
      <c r="D4" s="337" t="s">
        <v>41</v>
      </c>
      <c r="E4" s="337" t="s">
        <v>42</v>
      </c>
      <c r="F4" s="337" t="s">
        <v>43</v>
      </c>
      <c r="G4" s="319" t="s">
        <v>84</v>
      </c>
      <c r="H4" s="319" t="s">
        <v>91</v>
      </c>
      <c r="J4" s="319" t="s">
        <v>84</v>
      </c>
      <c r="K4" s="319" t="s">
        <v>90</v>
      </c>
      <c r="L4" s="327" t="s">
        <v>50</v>
      </c>
      <c r="M4" s="66"/>
      <c r="N4" s="322" t="s">
        <v>95</v>
      </c>
      <c r="O4" s="322"/>
      <c r="P4" s="322"/>
      <c r="Q4" s="322"/>
      <c r="R4" s="319" t="s">
        <v>96</v>
      </c>
      <c r="S4" s="319" t="s">
        <v>109</v>
      </c>
      <c r="T4" s="319" t="s">
        <v>108</v>
      </c>
      <c r="U4" s="319" t="s">
        <v>107</v>
      </c>
    </row>
    <row r="5" spans="2:21" x14ac:dyDescent="0.4">
      <c r="B5" s="336"/>
      <c r="C5" s="336"/>
      <c r="D5" s="336"/>
      <c r="E5" s="336"/>
      <c r="F5" s="336"/>
      <c r="G5" s="320"/>
      <c r="H5" s="320"/>
      <c r="J5" s="320"/>
      <c r="K5" s="320"/>
      <c r="L5" s="328"/>
      <c r="M5" s="319" t="s">
        <v>105</v>
      </c>
      <c r="N5" s="325" t="str">
        <f>シミュレーション!$I$18</f>
        <v>プルダウンから選択</v>
      </c>
      <c r="O5" s="326"/>
      <c r="P5" s="323" t="s">
        <v>36</v>
      </c>
      <c r="Q5" s="324"/>
      <c r="R5" s="320"/>
      <c r="S5" s="320"/>
      <c r="T5" s="320"/>
      <c r="U5" s="320"/>
    </row>
    <row r="6" spans="2:21" ht="41.25" customHeight="1" x14ac:dyDescent="0.4">
      <c r="B6" s="338"/>
      <c r="C6" s="77" t="s">
        <v>114</v>
      </c>
      <c r="D6" s="338"/>
      <c r="E6" s="338"/>
      <c r="F6" s="338"/>
      <c r="G6" s="321"/>
      <c r="H6" s="321"/>
      <c r="J6" s="321"/>
      <c r="K6" s="321"/>
      <c r="L6" s="329"/>
      <c r="M6" s="321"/>
      <c r="N6" s="65" t="s">
        <v>101</v>
      </c>
      <c r="O6" s="76" t="s">
        <v>102</v>
      </c>
      <c r="P6" s="65" t="s">
        <v>103</v>
      </c>
      <c r="Q6" s="76" t="s">
        <v>104</v>
      </c>
      <c r="R6" s="321"/>
      <c r="S6" s="321"/>
      <c r="T6" s="321"/>
      <c r="U6" s="321"/>
    </row>
    <row r="7" spans="2:21" x14ac:dyDescent="0.4">
      <c r="B7" s="41">
        <v>1</v>
      </c>
      <c r="C7" s="42" t="e">
        <f>EDATE(C4,1)</f>
        <v>#VALUE!</v>
      </c>
      <c r="D7" s="43">
        <v>0</v>
      </c>
      <c r="E7" s="43" t="e">
        <f>IF($F8=0,ROUNDDOWN(($C8-$C7+1)/365*$F7*$C$2,0),ROUNDDOWN(($C8-$C7)/365*$F7*$C$2,0))</f>
        <v>#VALUE!</v>
      </c>
      <c r="F7" s="43" t="str">
        <f>シミュレーション!$I$14</f>
        <v/>
      </c>
      <c r="G7" s="40" t="str">
        <f>IFERROR(YEAR(EDATE(C7,-3)),"初年度")</f>
        <v>初年度</v>
      </c>
      <c r="H7" s="40" t="s">
        <v>92</v>
      </c>
      <c r="J7" s="44" t="str">
        <f>G7</f>
        <v>初年度</v>
      </c>
      <c r="K7" s="71">
        <f t="shared" ref="K7:K13" si="0">SUMIF($G:$G,$J7,$F:$F)/COUNTIF($G:$G,$J7)</f>
        <v>0</v>
      </c>
      <c r="L7" s="45" t="e">
        <f t="shared" ref="L7:L13" si="1">SUMIF($G:$G,$J7,$E:$E)</f>
        <v>#VALUE!</v>
      </c>
      <c r="M7" s="45" t="e">
        <f t="shared" ref="M7:M14" si="2">SUMIFS($E:$E,$G:$G,$J7,$H:$H,"〇")</f>
        <v>#VALUE!</v>
      </c>
      <c r="N7" s="47" t="e">
        <f>ROUNDDOWN(M7*$N$2/$C$2,VLOOKUP($N$5,市町データ等!$B:$I,8,0))</f>
        <v>#VALUE!</v>
      </c>
      <c r="O7" s="74" t="e">
        <f>IF(ROUNDDOWN(M7*$N$2/$C$2,VLOOKUP($N$5,市町データ等!$B:$I,8,0))&gt;VLOOKUP(計算表!$N$5,市町データ等!$B:$J,9,0),VLOOKUP(計算表!$N$5,市町データ等!$B:$J,9,0),ROUNDDOWN(M7*$N$2/$C$2,VLOOKUP($N$5,市町データ等!$B:$I,8,0)))</f>
        <v>#VALUE!</v>
      </c>
      <c r="P7" s="46" t="e">
        <f>ROUNDDOWN(L7*$P$2/$C$2,-2)</f>
        <v>#VALUE!</v>
      </c>
      <c r="Q7" s="46" t="e">
        <f t="shared" ref="Q7:Q14" si="3">IF(SUM(O7,P7)&gt;L7,ROUNDDOWN((L7-O7),-2),P7)</f>
        <v>#VALUE!</v>
      </c>
      <c r="R7" s="45" t="e">
        <f>L7-SUM(O7,Q7)</f>
        <v>#VALUE!</v>
      </c>
      <c r="S7" s="67" t="e">
        <f t="shared" ref="S7:S13" si="4">R7/K7</f>
        <v>#VALUE!</v>
      </c>
      <c r="T7" s="79" t="e">
        <f>$K7/SUM($K$7:$K$14)</f>
        <v>#VALUE!</v>
      </c>
      <c r="U7" s="67" t="e">
        <f t="shared" ref="U7:U13" si="5">S7*T7</f>
        <v>#VALUE!</v>
      </c>
    </row>
    <row r="8" spans="2:21" x14ac:dyDescent="0.4">
      <c r="B8" s="41">
        <v>2</v>
      </c>
      <c r="C8" s="42" t="e">
        <f>DATE(YEAR(EDATE($C$7,2)),MONTH(EDATE($C$7,2)),1)</f>
        <v>#VALUE!</v>
      </c>
      <c r="D8" s="43">
        <v>0</v>
      </c>
      <c r="E8" s="43" t="e">
        <f t="shared" ref="E8:E15" si="6">IF($F9=0,ROUNDDOWN(($C9-$C8+1)/365*$F8*$C$2,0),ROUNDDOWN(($C9-$C8)/365*$F8*$C$2,0))</f>
        <v>#VALUE!</v>
      </c>
      <c r="F8" s="43">
        <f t="shared" ref="F8:F39" si="7">IFERROR(F7-D8,0)</f>
        <v>0</v>
      </c>
      <c r="G8" s="40" t="e">
        <f t="shared" ref="G8:G71" si="8">YEAR(EDATE(C8,-3))</f>
        <v>#VALUE!</v>
      </c>
      <c r="H8" s="40" t="s">
        <v>92</v>
      </c>
      <c r="J8" s="44" t="e">
        <f>J7+1</f>
        <v>#VALUE!</v>
      </c>
      <c r="K8" s="71" t="e">
        <f t="shared" si="0"/>
        <v>#VALUE!</v>
      </c>
      <c r="L8" s="45" t="e">
        <f t="shared" si="1"/>
        <v>#VALUE!</v>
      </c>
      <c r="M8" s="45" t="e">
        <f t="shared" si="2"/>
        <v>#VALUE!</v>
      </c>
      <c r="N8" s="47" t="e">
        <f>ROUNDDOWN(M8*$N$2/$C$2,VLOOKUP($N$5,市町データ等!$B:$I,8,0))</f>
        <v>#VALUE!</v>
      </c>
      <c r="O8" s="74" t="e">
        <f>IF(ROUNDDOWN(M8*$N$2/$C$2,VLOOKUP($N$5,市町データ等!$B:$I,8,0))&gt;VLOOKUP(計算表!$N$5,市町データ等!$B:$J,9,0),VLOOKUP(計算表!$N$5,市町データ等!$B:$J,9,0),ROUNDDOWN(M8*$N$2/$C$2,VLOOKUP($N$5,市町データ等!$B:$I,8,0)))</f>
        <v>#VALUE!</v>
      </c>
      <c r="P8" s="46" t="e">
        <f t="shared" ref="P8:P14" si="9">ROUNDDOWN(L8*$P$2/$C$2,-2)</f>
        <v>#VALUE!</v>
      </c>
      <c r="Q8" s="46" t="e">
        <f t="shared" si="3"/>
        <v>#VALUE!</v>
      </c>
      <c r="R8" s="45" t="e">
        <f t="shared" ref="R8:R14" si="10">L8-SUM(O8,Q8)</f>
        <v>#VALUE!</v>
      </c>
      <c r="S8" s="67" t="e">
        <f t="shared" si="4"/>
        <v>#VALUE!</v>
      </c>
      <c r="T8" s="79" t="e">
        <f t="shared" ref="T8:T13" si="11">$K8/SUM($K$7:$K$14)</f>
        <v>#VALUE!</v>
      </c>
      <c r="U8" s="67" t="e">
        <f t="shared" si="5"/>
        <v>#VALUE!</v>
      </c>
    </row>
    <row r="9" spans="2:21" x14ac:dyDescent="0.4">
      <c r="B9" s="41">
        <v>3</v>
      </c>
      <c r="C9" s="42" t="e">
        <f>IF(C8="","",EDATE(C8,1))</f>
        <v>#VALUE!</v>
      </c>
      <c r="D9" s="43">
        <v>0</v>
      </c>
      <c r="E9" s="43" t="e">
        <f t="shared" si="6"/>
        <v>#VALUE!</v>
      </c>
      <c r="F9" s="43">
        <f t="shared" si="7"/>
        <v>0</v>
      </c>
      <c r="G9" s="40" t="e">
        <f t="shared" si="8"/>
        <v>#VALUE!</v>
      </c>
      <c r="H9" s="40" t="s">
        <v>92</v>
      </c>
      <c r="J9" s="44" t="e">
        <f t="shared" ref="J9:J12" si="12">J8+1</f>
        <v>#VALUE!</v>
      </c>
      <c r="K9" s="71" t="e">
        <f t="shared" si="0"/>
        <v>#VALUE!</v>
      </c>
      <c r="L9" s="45" t="e">
        <f t="shared" si="1"/>
        <v>#VALUE!</v>
      </c>
      <c r="M9" s="45" t="e">
        <f t="shared" si="2"/>
        <v>#VALUE!</v>
      </c>
      <c r="N9" s="47" t="e">
        <f>ROUNDDOWN(M9*$N$2/$C$2,VLOOKUP($N$5,市町データ等!$B:$I,8,0))</f>
        <v>#VALUE!</v>
      </c>
      <c r="O9" s="74" t="e">
        <f>IF(ROUNDDOWN(M9*$N$2/$C$2,VLOOKUP($N$5,市町データ等!$B:$I,8,0))&gt;VLOOKUP(計算表!$N$5,市町データ等!$B:$J,9,0),VLOOKUP(計算表!$N$5,市町データ等!$B:$J,9,0),ROUNDDOWN(M9*$N$2/$C$2,VLOOKUP($N$5,市町データ等!$B:$I,8,0)))</f>
        <v>#VALUE!</v>
      </c>
      <c r="P9" s="46" t="e">
        <f t="shared" si="9"/>
        <v>#VALUE!</v>
      </c>
      <c r="Q9" s="46" t="e">
        <f t="shared" si="3"/>
        <v>#VALUE!</v>
      </c>
      <c r="R9" s="45" t="e">
        <f t="shared" si="10"/>
        <v>#VALUE!</v>
      </c>
      <c r="S9" s="67" t="e">
        <f t="shared" si="4"/>
        <v>#VALUE!</v>
      </c>
      <c r="T9" s="79" t="e">
        <f t="shared" si="11"/>
        <v>#VALUE!</v>
      </c>
      <c r="U9" s="67" t="e">
        <f t="shared" si="5"/>
        <v>#VALUE!</v>
      </c>
    </row>
    <row r="10" spans="2:21" x14ac:dyDescent="0.4">
      <c r="B10" s="41">
        <v>4</v>
      </c>
      <c r="C10" s="42" t="e">
        <f t="shared" ref="C10:C73" si="13">IF(C9="","",EDATE(C9,1))</f>
        <v>#VALUE!</v>
      </c>
      <c r="D10" s="43">
        <v>0</v>
      </c>
      <c r="E10" s="43" t="e">
        <f t="shared" si="6"/>
        <v>#VALUE!</v>
      </c>
      <c r="F10" s="43">
        <f t="shared" si="7"/>
        <v>0</v>
      </c>
      <c r="G10" s="40" t="e">
        <f t="shared" si="8"/>
        <v>#VALUE!</v>
      </c>
      <c r="H10" s="40" t="s">
        <v>92</v>
      </c>
      <c r="J10" s="44" t="e">
        <f t="shared" si="12"/>
        <v>#VALUE!</v>
      </c>
      <c r="K10" s="71" t="e">
        <f t="shared" si="0"/>
        <v>#VALUE!</v>
      </c>
      <c r="L10" s="45" t="e">
        <f t="shared" si="1"/>
        <v>#VALUE!</v>
      </c>
      <c r="M10" s="45" t="e">
        <f t="shared" si="2"/>
        <v>#VALUE!</v>
      </c>
      <c r="N10" s="47" t="e">
        <f>ROUNDDOWN(M10*$N$2/$C$2,VLOOKUP($N$5,市町データ等!$B:$I,8,0))</f>
        <v>#VALUE!</v>
      </c>
      <c r="O10" s="74" t="e">
        <f>IF(ROUNDDOWN(M10*$N$2/$C$2,VLOOKUP($N$5,市町データ等!$B:$I,8,0))&gt;VLOOKUP(計算表!$N$5,市町データ等!$B:$J,9,0),VLOOKUP(計算表!$N$5,市町データ等!$B:$J,9,0),ROUNDDOWN(M10*$N$2/$C$2,VLOOKUP($N$5,市町データ等!$B:$I,8,0)))</f>
        <v>#VALUE!</v>
      </c>
      <c r="P10" s="46" t="e">
        <f t="shared" si="9"/>
        <v>#VALUE!</v>
      </c>
      <c r="Q10" s="46" t="e">
        <f t="shared" si="3"/>
        <v>#VALUE!</v>
      </c>
      <c r="R10" s="45" t="e">
        <f t="shared" si="10"/>
        <v>#VALUE!</v>
      </c>
      <c r="S10" s="67" t="e">
        <f t="shared" si="4"/>
        <v>#VALUE!</v>
      </c>
      <c r="T10" s="79" t="e">
        <f t="shared" si="11"/>
        <v>#VALUE!</v>
      </c>
      <c r="U10" s="67" t="e">
        <f t="shared" si="5"/>
        <v>#VALUE!</v>
      </c>
    </row>
    <row r="11" spans="2:21" x14ac:dyDescent="0.4">
      <c r="B11" s="41">
        <v>5</v>
      </c>
      <c r="C11" s="42" t="e">
        <f t="shared" si="13"/>
        <v>#VALUE!</v>
      </c>
      <c r="D11" s="43">
        <v>0</v>
      </c>
      <c r="E11" s="43" t="e">
        <f t="shared" si="6"/>
        <v>#VALUE!</v>
      </c>
      <c r="F11" s="43">
        <f t="shared" si="7"/>
        <v>0</v>
      </c>
      <c r="G11" s="40" t="e">
        <f t="shared" si="8"/>
        <v>#VALUE!</v>
      </c>
      <c r="H11" s="40" t="s">
        <v>92</v>
      </c>
      <c r="J11" s="48" t="e">
        <f t="shared" si="12"/>
        <v>#VALUE!</v>
      </c>
      <c r="K11" s="71" t="e">
        <f t="shared" si="0"/>
        <v>#VALUE!</v>
      </c>
      <c r="L11" s="49" t="e">
        <f t="shared" si="1"/>
        <v>#VALUE!</v>
      </c>
      <c r="M11" s="45" t="e">
        <f t="shared" si="2"/>
        <v>#VALUE!</v>
      </c>
      <c r="N11" s="47" t="e">
        <f>ROUNDDOWN(M11*$N$2/$C$2,VLOOKUP($N$5,市町データ等!$B:$I,8,0))</f>
        <v>#VALUE!</v>
      </c>
      <c r="O11" s="74" t="e">
        <f>IF(ROUNDDOWN(M11*$N$2/$C$2,VLOOKUP($N$5,市町データ等!$B:$I,8,0))&gt;VLOOKUP(計算表!$N$5,市町データ等!$B:$J,9,0),VLOOKUP(計算表!$N$5,市町データ等!$B:$J,9,0),ROUNDDOWN(M11*$N$2/$C$2,VLOOKUP($N$5,市町データ等!$B:$I,8,0)))</f>
        <v>#VALUE!</v>
      </c>
      <c r="P11" s="46" t="e">
        <f t="shared" si="9"/>
        <v>#VALUE!</v>
      </c>
      <c r="Q11" s="46" t="e">
        <f t="shared" si="3"/>
        <v>#VALUE!</v>
      </c>
      <c r="R11" s="45" t="e">
        <f t="shared" si="10"/>
        <v>#VALUE!</v>
      </c>
      <c r="S11" s="67" t="e">
        <f t="shared" si="4"/>
        <v>#VALUE!</v>
      </c>
      <c r="T11" s="79" t="e">
        <f t="shared" si="11"/>
        <v>#VALUE!</v>
      </c>
      <c r="U11" s="67" t="e">
        <f t="shared" si="5"/>
        <v>#VALUE!</v>
      </c>
    </row>
    <row r="12" spans="2:21" x14ac:dyDescent="0.4">
      <c r="B12" s="41">
        <v>6</v>
      </c>
      <c r="C12" s="42" t="e">
        <f t="shared" si="13"/>
        <v>#VALUE!</v>
      </c>
      <c r="D12" s="43">
        <v>0</v>
      </c>
      <c r="E12" s="43" t="e">
        <f t="shared" si="6"/>
        <v>#VALUE!</v>
      </c>
      <c r="F12" s="43">
        <f>IFERROR(F11-D12,0)</f>
        <v>0</v>
      </c>
      <c r="G12" s="40" t="e">
        <f t="shared" si="8"/>
        <v>#VALUE!</v>
      </c>
      <c r="H12" s="40" t="s">
        <v>92</v>
      </c>
      <c r="J12" s="48" t="e">
        <f t="shared" si="12"/>
        <v>#VALUE!</v>
      </c>
      <c r="K12" s="71" t="e">
        <f t="shared" si="0"/>
        <v>#VALUE!</v>
      </c>
      <c r="L12" s="49" t="e">
        <f t="shared" si="1"/>
        <v>#VALUE!</v>
      </c>
      <c r="M12" s="45" t="e">
        <f t="shared" si="2"/>
        <v>#VALUE!</v>
      </c>
      <c r="N12" s="47" t="e">
        <f>ROUNDDOWN(M12*$N$2/$C$2,VLOOKUP($N$5,市町データ等!$B:$I,8,0))</f>
        <v>#VALUE!</v>
      </c>
      <c r="O12" s="74" t="e">
        <f>IF(ROUNDDOWN(M12*$N$2/$C$2,VLOOKUP($N$5,市町データ等!$B:$I,8,0))&gt;VLOOKUP(計算表!$N$5,市町データ等!$B:$J,9,0),VLOOKUP(計算表!$N$5,市町データ等!$B:$J,9,0),ROUNDDOWN(M12*$N$2/$C$2,VLOOKUP($N$5,市町データ等!$B:$I,8,0)))</f>
        <v>#VALUE!</v>
      </c>
      <c r="P12" s="46" t="e">
        <f t="shared" si="9"/>
        <v>#VALUE!</v>
      </c>
      <c r="Q12" s="46" t="e">
        <f t="shared" si="3"/>
        <v>#VALUE!</v>
      </c>
      <c r="R12" s="45" t="e">
        <f t="shared" si="10"/>
        <v>#VALUE!</v>
      </c>
      <c r="S12" s="67" t="e">
        <f t="shared" si="4"/>
        <v>#VALUE!</v>
      </c>
      <c r="T12" s="79" t="e">
        <f t="shared" si="11"/>
        <v>#VALUE!</v>
      </c>
      <c r="U12" s="67" t="e">
        <f t="shared" si="5"/>
        <v>#VALUE!</v>
      </c>
    </row>
    <row r="13" spans="2:21" x14ac:dyDescent="0.4">
      <c r="B13" s="41">
        <v>7</v>
      </c>
      <c r="C13" s="42" t="e">
        <f t="shared" si="13"/>
        <v>#VALUE!</v>
      </c>
      <c r="D13" s="43">
        <v>0</v>
      </c>
      <c r="E13" s="43" t="e">
        <f t="shared" si="6"/>
        <v>#VALUE!</v>
      </c>
      <c r="F13" s="43">
        <f t="shared" si="7"/>
        <v>0</v>
      </c>
      <c r="G13" s="40" t="e">
        <f t="shared" si="8"/>
        <v>#VALUE!</v>
      </c>
      <c r="H13" s="40" t="s">
        <v>92</v>
      </c>
      <c r="J13" s="48" t="e">
        <f>J12+1</f>
        <v>#VALUE!</v>
      </c>
      <c r="K13" s="71" t="e">
        <f t="shared" si="0"/>
        <v>#VALUE!</v>
      </c>
      <c r="L13" s="59" t="e">
        <f t="shared" si="1"/>
        <v>#VALUE!</v>
      </c>
      <c r="M13" s="45" t="e">
        <f t="shared" si="2"/>
        <v>#VALUE!</v>
      </c>
      <c r="N13" s="47" t="e">
        <f>ROUNDDOWN(M13*$N$2/$C$2,VLOOKUP($N$5,市町データ等!$B:$I,8,0))</f>
        <v>#VALUE!</v>
      </c>
      <c r="O13" s="74" t="e">
        <f>IF(ROUNDDOWN(M13*$N$2/$C$2,VLOOKUP($N$5,市町データ等!$B:$I,8,0))&gt;VLOOKUP(計算表!$N$5,市町データ等!$B:$J,9,0),VLOOKUP(計算表!$N$5,市町データ等!$B:$J,9,0),ROUNDDOWN(M13*$N$2/$C$2,VLOOKUP($N$5,市町データ等!$B:$I,8,0)))</f>
        <v>#VALUE!</v>
      </c>
      <c r="P13" s="46" t="e">
        <f t="shared" si="9"/>
        <v>#VALUE!</v>
      </c>
      <c r="Q13" s="46" t="e">
        <f t="shared" si="3"/>
        <v>#VALUE!</v>
      </c>
      <c r="R13" s="45" t="e">
        <f t="shared" si="10"/>
        <v>#VALUE!</v>
      </c>
      <c r="S13" s="67" t="e">
        <f t="shared" si="4"/>
        <v>#VALUE!</v>
      </c>
      <c r="T13" s="79" t="e">
        <f t="shared" si="11"/>
        <v>#VALUE!</v>
      </c>
      <c r="U13" s="67" t="e">
        <f t="shared" si="5"/>
        <v>#VALUE!</v>
      </c>
    </row>
    <row r="14" spans="2:21" ht="15" thickBot="1" x14ac:dyDescent="0.45">
      <c r="B14" s="41">
        <v>8</v>
      </c>
      <c r="C14" s="42" t="e">
        <f t="shared" si="13"/>
        <v>#VALUE!</v>
      </c>
      <c r="D14" s="43" t="e">
        <f>IF(COUNTIF($D$7:D13,"0")&lt;$F$2,"0",シミュレーション!$I$25)</f>
        <v>#VALUE!</v>
      </c>
      <c r="E14" s="43" t="e">
        <f t="shared" si="6"/>
        <v>#VALUE!</v>
      </c>
      <c r="F14" s="43">
        <f t="shared" si="7"/>
        <v>0</v>
      </c>
      <c r="G14" s="40" t="e">
        <f t="shared" si="8"/>
        <v>#VALUE!</v>
      </c>
      <c r="H14" s="40" t="s">
        <v>92</v>
      </c>
      <c r="J14" s="62" t="e">
        <f>J13+1</f>
        <v>#VALUE!</v>
      </c>
      <c r="K14" s="72">
        <f>IFERROR(SUMIF($G:$G,$J14,$F:$F)/COUNTIFS($G:$G,$J$14,$D:$D,"&gt;0"),0)</f>
        <v>0</v>
      </c>
      <c r="L14" s="58" t="str">
        <f>IFERROR(SUMIF($G:$G,$J14,$E:$E),"")</f>
        <v/>
      </c>
      <c r="M14" s="60" t="e">
        <f t="shared" si="2"/>
        <v>#VALUE!</v>
      </c>
      <c r="N14" s="50" t="e">
        <f>ROUNDDOWN(M14*$N$2/$C$2,VLOOKUP($N$5,市町データ等!$B:$I,8,0))</f>
        <v>#VALUE!</v>
      </c>
      <c r="O14" s="50" t="e">
        <f>IF(ROUNDDOWN(M14*$N$2/$C$2,VLOOKUP($N$5,市町データ等!$B:$I,8,0))&gt;VLOOKUP(計算表!$N$5,市町データ等!$B:$J,9,0),VLOOKUP(計算表!$N$5,市町データ等!$B:$J,9,0),ROUNDDOWN(M14*$N$2/$C$2,VLOOKUP($N$5,市町データ等!$B:$I,8,0)))</f>
        <v>#VALUE!</v>
      </c>
      <c r="P14" s="75" t="e">
        <f t="shared" si="9"/>
        <v>#VALUE!</v>
      </c>
      <c r="Q14" s="75" t="e">
        <f t="shared" si="3"/>
        <v>#VALUE!</v>
      </c>
      <c r="R14" s="60" t="e">
        <f t="shared" si="10"/>
        <v>#VALUE!</v>
      </c>
      <c r="S14" s="68" t="str">
        <f>IFERROR(R14/K14,"")</f>
        <v/>
      </c>
      <c r="T14" s="80" t="str">
        <f>IF(K14=0,"",$K14/SUM($K$7:$K$14))</f>
        <v/>
      </c>
      <c r="U14" s="68" t="str">
        <f>IFERROR(S14*T14,"")</f>
        <v/>
      </c>
    </row>
    <row r="15" spans="2:21" ht="15" thickTop="1" x14ac:dyDescent="0.4">
      <c r="B15" s="41">
        <v>9</v>
      </c>
      <c r="C15" s="42" t="e">
        <f t="shared" si="13"/>
        <v>#VALUE!</v>
      </c>
      <c r="D15" s="43" t="e">
        <f>IF(COUNTIF($D$7:D14,"0")&lt;$F$2,"0",シミュレーション!$I$25)</f>
        <v>#VALUE!</v>
      </c>
      <c r="E15" s="43" t="e">
        <f t="shared" si="6"/>
        <v>#VALUE!</v>
      </c>
      <c r="F15" s="43">
        <f t="shared" si="7"/>
        <v>0</v>
      </c>
      <c r="G15" s="40" t="e">
        <f t="shared" si="8"/>
        <v>#VALUE!</v>
      </c>
      <c r="H15" s="40" t="s">
        <v>92</v>
      </c>
      <c r="J15" s="334"/>
      <c r="K15" s="334"/>
      <c r="L15" s="51" t="e">
        <f>SUM(L7:L14)</f>
        <v>#VALUE!</v>
      </c>
      <c r="M15" s="51" t="e">
        <f>SUM(M7:M14)</f>
        <v>#VALUE!</v>
      </c>
      <c r="N15" s="51" t="e">
        <f>SUM(N7:N14)</f>
        <v>#VALUE!</v>
      </c>
      <c r="O15" s="51" t="e">
        <f t="shared" ref="O15:Q15" si="14">SUM(O7:O14)</f>
        <v>#VALUE!</v>
      </c>
      <c r="P15" s="51" t="e">
        <f t="shared" si="14"/>
        <v>#VALUE!</v>
      </c>
      <c r="Q15" s="51" t="e">
        <f t="shared" si="14"/>
        <v>#VALUE!</v>
      </c>
      <c r="R15" s="51" t="e">
        <f>SUM(R7:R14)</f>
        <v>#VALUE!</v>
      </c>
      <c r="S15" s="69" t="e">
        <f>AVERAGE(S7:S14)</f>
        <v>#VALUE!</v>
      </c>
      <c r="T15" s="81" t="e">
        <f>SUM(T7:T14)</f>
        <v>#VALUE!</v>
      </c>
      <c r="U15" s="69" t="e">
        <f>SUM(U7:U14)</f>
        <v>#VALUE!</v>
      </c>
    </row>
    <row r="16" spans="2:21" x14ac:dyDescent="0.4">
      <c r="B16" s="41">
        <v>10</v>
      </c>
      <c r="C16" s="42" t="e">
        <f t="shared" si="13"/>
        <v>#VALUE!</v>
      </c>
      <c r="D16" s="43" t="e">
        <f>IF(COUNTIF($D$7:D15,"0")&lt;$F$2,"0",シミュレーション!$I$25)</f>
        <v>#VALUE!</v>
      </c>
      <c r="E16" s="43" t="e">
        <f t="shared" ref="E16:E47" si="15">IF($C16="","",IF(F17=0,ROUNDDOWN((C17-C16+1)/365*F16*$C$2,0),ROUNDDOWN((C17-C16)/365*F16*$C$2,0)))</f>
        <v>#VALUE!</v>
      </c>
      <c r="F16" s="43">
        <f t="shared" si="7"/>
        <v>0</v>
      </c>
      <c r="G16" s="40" t="e">
        <f t="shared" si="8"/>
        <v>#VALUE!</v>
      </c>
      <c r="H16" s="40" t="s">
        <v>92</v>
      </c>
    </row>
    <row r="17" spans="2:18" x14ac:dyDescent="0.4">
      <c r="B17" s="41">
        <v>11</v>
      </c>
      <c r="C17" s="42" t="e">
        <f t="shared" si="13"/>
        <v>#VALUE!</v>
      </c>
      <c r="D17" s="43" t="e">
        <f>IF(COUNTIF($D$7:D16,"0")&lt;$F$2,"0",シミュレーション!$I$25)</f>
        <v>#VALUE!</v>
      </c>
      <c r="E17" s="43" t="e">
        <f t="shared" si="15"/>
        <v>#VALUE!</v>
      </c>
      <c r="F17" s="43">
        <f t="shared" si="7"/>
        <v>0</v>
      </c>
      <c r="G17" s="40" t="e">
        <f t="shared" si="8"/>
        <v>#VALUE!</v>
      </c>
      <c r="H17" s="40" t="s">
        <v>92</v>
      </c>
      <c r="K17" s="35" t="s">
        <v>94</v>
      </c>
      <c r="Q17" s="78" t="s">
        <v>61</v>
      </c>
      <c r="R17" s="61" t="e">
        <f>L15</f>
        <v>#VALUE!</v>
      </c>
    </row>
    <row r="18" spans="2:18" x14ac:dyDescent="0.4">
      <c r="B18" s="41">
        <v>12</v>
      </c>
      <c r="C18" s="42" t="e">
        <f t="shared" si="13"/>
        <v>#VALUE!</v>
      </c>
      <c r="D18" s="43" t="e">
        <f>IF(COUNTIF($D$7:D17,"0")&lt;$F$2,"0",シミュレーション!$I$25)</f>
        <v>#VALUE!</v>
      </c>
      <c r="E18" s="43" t="e">
        <f t="shared" si="15"/>
        <v>#VALUE!</v>
      </c>
      <c r="F18" s="43">
        <f t="shared" si="7"/>
        <v>0</v>
      </c>
      <c r="G18" s="40" t="e">
        <f t="shared" si="8"/>
        <v>#VALUE!</v>
      </c>
      <c r="H18" s="40" t="s">
        <v>92</v>
      </c>
      <c r="Q18" s="78" t="s">
        <v>62</v>
      </c>
      <c r="R18" s="61" t="e">
        <f>Q15+O15</f>
        <v>#VALUE!</v>
      </c>
    </row>
    <row r="19" spans="2:18" x14ac:dyDescent="0.4">
      <c r="B19" s="41">
        <v>13</v>
      </c>
      <c r="C19" s="42" t="e">
        <f t="shared" si="13"/>
        <v>#VALUE!</v>
      </c>
      <c r="D19" s="43" t="e">
        <f>IF(COUNTIF($D$7:D18,"0")&lt;$F$2,"0",シミュレーション!$I$25)</f>
        <v>#VALUE!</v>
      </c>
      <c r="E19" s="43" t="e">
        <f t="shared" si="15"/>
        <v>#VALUE!</v>
      </c>
      <c r="F19" s="43">
        <f t="shared" si="7"/>
        <v>0</v>
      </c>
      <c r="G19" s="40" t="e">
        <f t="shared" si="8"/>
        <v>#VALUE!</v>
      </c>
      <c r="H19" s="40" t="s">
        <v>92</v>
      </c>
      <c r="Q19" s="78" t="s">
        <v>63</v>
      </c>
      <c r="R19" s="61" t="e">
        <f>R17-R18</f>
        <v>#VALUE!</v>
      </c>
    </row>
    <row r="20" spans="2:18" x14ac:dyDescent="0.4">
      <c r="B20" s="41">
        <v>14</v>
      </c>
      <c r="C20" s="42" t="e">
        <f t="shared" si="13"/>
        <v>#VALUE!</v>
      </c>
      <c r="D20" s="43" t="e">
        <f>IF(COUNTIF($D$7:D19,"0")&lt;$F$2,"0",シミュレーション!$I$25)</f>
        <v>#VALUE!</v>
      </c>
      <c r="E20" s="43" t="e">
        <f t="shared" si="15"/>
        <v>#VALUE!</v>
      </c>
      <c r="F20" s="43">
        <f t="shared" si="7"/>
        <v>0</v>
      </c>
      <c r="G20" s="40" t="e">
        <f t="shared" si="8"/>
        <v>#VALUE!</v>
      </c>
      <c r="H20" s="40" t="s">
        <v>92</v>
      </c>
    </row>
    <row r="21" spans="2:18" x14ac:dyDescent="0.4">
      <c r="B21" s="41">
        <v>15</v>
      </c>
      <c r="C21" s="42" t="e">
        <f t="shared" si="13"/>
        <v>#VALUE!</v>
      </c>
      <c r="D21" s="43" t="e">
        <f>IF(COUNTIF($D$7:D20,"0")&lt;$F$2,"0",シミュレーション!$I$25)</f>
        <v>#VALUE!</v>
      </c>
      <c r="E21" s="43" t="e">
        <f t="shared" si="15"/>
        <v>#VALUE!</v>
      </c>
      <c r="F21" s="43">
        <f t="shared" si="7"/>
        <v>0</v>
      </c>
      <c r="G21" s="40" t="e">
        <f t="shared" si="8"/>
        <v>#VALUE!</v>
      </c>
      <c r="H21" s="40" t="s">
        <v>92</v>
      </c>
    </row>
    <row r="22" spans="2:18" x14ac:dyDescent="0.4">
      <c r="B22" s="41">
        <v>16</v>
      </c>
      <c r="C22" s="42" t="e">
        <f t="shared" si="13"/>
        <v>#VALUE!</v>
      </c>
      <c r="D22" s="43" t="e">
        <f>D21</f>
        <v>#VALUE!</v>
      </c>
      <c r="E22" s="43" t="e">
        <f t="shared" si="15"/>
        <v>#VALUE!</v>
      </c>
      <c r="F22" s="43">
        <f t="shared" si="7"/>
        <v>0</v>
      </c>
      <c r="G22" s="40" t="e">
        <f t="shared" si="8"/>
        <v>#VALUE!</v>
      </c>
      <c r="H22" s="40" t="s">
        <v>92</v>
      </c>
    </row>
    <row r="23" spans="2:18" x14ac:dyDescent="0.4">
      <c r="B23" s="41">
        <v>17</v>
      </c>
      <c r="C23" s="42" t="e">
        <f t="shared" si="13"/>
        <v>#VALUE!</v>
      </c>
      <c r="D23" s="43" t="e">
        <f t="shared" ref="D23:D85" si="16">D22</f>
        <v>#VALUE!</v>
      </c>
      <c r="E23" s="43" t="e">
        <f t="shared" si="15"/>
        <v>#VALUE!</v>
      </c>
      <c r="F23" s="43">
        <f t="shared" si="7"/>
        <v>0</v>
      </c>
      <c r="G23" s="40" t="e">
        <f t="shared" si="8"/>
        <v>#VALUE!</v>
      </c>
      <c r="H23" s="40" t="s">
        <v>92</v>
      </c>
    </row>
    <row r="24" spans="2:18" x14ac:dyDescent="0.4">
      <c r="B24" s="41">
        <v>18</v>
      </c>
      <c r="C24" s="42" t="e">
        <f t="shared" si="13"/>
        <v>#VALUE!</v>
      </c>
      <c r="D24" s="43" t="e">
        <f t="shared" si="16"/>
        <v>#VALUE!</v>
      </c>
      <c r="E24" s="43" t="e">
        <f t="shared" si="15"/>
        <v>#VALUE!</v>
      </c>
      <c r="F24" s="43">
        <f t="shared" si="7"/>
        <v>0</v>
      </c>
      <c r="G24" s="40" t="e">
        <f t="shared" si="8"/>
        <v>#VALUE!</v>
      </c>
      <c r="H24" s="40" t="s">
        <v>92</v>
      </c>
    </row>
    <row r="25" spans="2:18" x14ac:dyDescent="0.4">
      <c r="B25" s="41">
        <v>19</v>
      </c>
      <c r="C25" s="42" t="e">
        <f t="shared" si="13"/>
        <v>#VALUE!</v>
      </c>
      <c r="D25" s="43" t="e">
        <f t="shared" si="16"/>
        <v>#VALUE!</v>
      </c>
      <c r="E25" s="43" t="e">
        <f t="shared" si="15"/>
        <v>#VALUE!</v>
      </c>
      <c r="F25" s="43">
        <f t="shared" si="7"/>
        <v>0</v>
      </c>
      <c r="G25" s="40" t="e">
        <f t="shared" si="8"/>
        <v>#VALUE!</v>
      </c>
      <c r="H25" s="40" t="s">
        <v>92</v>
      </c>
    </row>
    <row r="26" spans="2:18" x14ac:dyDescent="0.4">
      <c r="B26" s="41">
        <v>20</v>
      </c>
      <c r="C26" s="42" t="e">
        <f t="shared" si="13"/>
        <v>#VALUE!</v>
      </c>
      <c r="D26" s="43" t="e">
        <f t="shared" si="16"/>
        <v>#VALUE!</v>
      </c>
      <c r="E26" s="43" t="e">
        <f t="shared" si="15"/>
        <v>#VALUE!</v>
      </c>
      <c r="F26" s="43">
        <f t="shared" si="7"/>
        <v>0</v>
      </c>
      <c r="G26" s="40" t="e">
        <f t="shared" si="8"/>
        <v>#VALUE!</v>
      </c>
      <c r="H26" s="40" t="s">
        <v>92</v>
      </c>
    </row>
    <row r="27" spans="2:18" x14ac:dyDescent="0.4">
      <c r="B27" s="41">
        <v>21</v>
      </c>
      <c r="C27" s="42" t="e">
        <f t="shared" si="13"/>
        <v>#VALUE!</v>
      </c>
      <c r="D27" s="43" t="e">
        <f t="shared" si="16"/>
        <v>#VALUE!</v>
      </c>
      <c r="E27" s="43" t="e">
        <f t="shared" si="15"/>
        <v>#VALUE!</v>
      </c>
      <c r="F27" s="43">
        <f t="shared" si="7"/>
        <v>0</v>
      </c>
      <c r="G27" s="40" t="e">
        <f t="shared" si="8"/>
        <v>#VALUE!</v>
      </c>
      <c r="H27" s="40" t="s">
        <v>92</v>
      </c>
    </row>
    <row r="28" spans="2:18" x14ac:dyDescent="0.4">
      <c r="B28" s="41">
        <v>22</v>
      </c>
      <c r="C28" s="42" t="e">
        <f t="shared" si="13"/>
        <v>#VALUE!</v>
      </c>
      <c r="D28" s="43" t="e">
        <f t="shared" si="16"/>
        <v>#VALUE!</v>
      </c>
      <c r="E28" s="43" t="e">
        <f t="shared" si="15"/>
        <v>#VALUE!</v>
      </c>
      <c r="F28" s="43">
        <f t="shared" si="7"/>
        <v>0</v>
      </c>
      <c r="G28" s="40" t="e">
        <f t="shared" si="8"/>
        <v>#VALUE!</v>
      </c>
      <c r="H28" s="40" t="s">
        <v>92</v>
      </c>
    </row>
    <row r="29" spans="2:18" x14ac:dyDescent="0.4">
      <c r="B29" s="41">
        <v>23</v>
      </c>
      <c r="C29" s="42" t="e">
        <f t="shared" si="13"/>
        <v>#VALUE!</v>
      </c>
      <c r="D29" s="43" t="e">
        <f t="shared" si="16"/>
        <v>#VALUE!</v>
      </c>
      <c r="E29" s="43" t="e">
        <f t="shared" si="15"/>
        <v>#VALUE!</v>
      </c>
      <c r="F29" s="43">
        <f t="shared" si="7"/>
        <v>0</v>
      </c>
      <c r="G29" s="40" t="e">
        <f t="shared" si="8"/>
        <v>#VALUE!</v>
      </c>
      <c r="H29" s="40" t="s">
        <v>92</v>
      </c>
    </row>
    <row r="30" spans="2:18" x14ac:dyDescent="0.4">
      <c r="B30" s="41">
        <v>24</v>
      </c>
      <c r="C30" s="42" t="e">
        <f t="shared" si="13"/>
        <v>#VALUE!</v>
      </c>
      <c r="D30" s="43" t="e">
        <f t="shared" si="16"/>
        <v>#VALUE!</v>
      </c>
      <c r="E30" s="43" t="e">
        <f t="shared" si="15"/>
        <v>#VALUE!</v>
      </c>
      <c r="F30" s="43">
        <f t="shared" si="7"/>
        <v>0</v>
      </c>
      <c r="G30" s="40" t="e">
        <f t="shared" si="8"/>
        <v>#VALUE!</v>
      </c>
      <c r="H30" s="40" t="s">
        <v>92</v>
      </c>
    </row>
    <row r="31" spans="2:18" x14ac:dyDescent="0.4">
      <c r="B31" s="41">
        <v>25</v>
      </c>
      <c r="C31" s="42" t="e">
        <f t="shared" si="13"/>
        <v>#VALUE!</v>
      </c>
      <c r="D31" s="43" t="e">
        <f t="shared" si="16"/>
        <v>#VALUE!</v>
      </c>
      <c r="E31" s="43" t="e">
        <f t="shared" si="15"/>
        <v>#VALUE!</v>
      </c>
      <c r="F31" s="43">
        <f t="shared" si="7"/>
        <v>0</v>
      </c>
      <c r="G31" s="40" t="e">
        <f t="shared" si="8"/>
        <v>#VALUE!</v>
      </c>
      <c r="H31" s="40" t="s">
        <v>92</v>
      </c>
    </row>
    <row r="32" spans="2:18" x14ac:dyDescent="0.4">
      <c r="B32" s="41">
        <v>26</v>
      </c>
      <c r="C32" s="42" t="e">
        <f t="shared" si="13"/>
        <v>#VALUE!</v>
      </c>
      <c r="D32" s="43" t="e">
        <f t="shared" si="16"/>
        <v>#VALUE!</v>
      </c>
      <c r="E32" s="43" t="e">
        <f t="shared" si="15"/>
        <v>#VALUE!</v>
      </c>
      <c r="F32" s="43">
        <f t="shared" si="7"/>
        <v>0</v>
      </c>
      <c r="G32" s="40" t="e">
        <f t="shared" si="8"/>
        <v>#VALUE!</v>
      </c>
      <c r="H32" s="40" t="s">
        <v>92</v>
      </c>
    </row>
    <row r="33" spans="2:8" x14ac:dyDescent="0.4">
      <c r="B33" s="41">
        <v>27</v>
      </c>
      <c r="C33" s="42" t="e">
        <f t="shared" si="13"/>
        <v>#VALUE!</v>
      </c>
      <c r="D33" s="43" t="e">
        <f t="shared" si="16"/>
        <v>#VALUE!</v>
      </c>
      <c r="E33" s="43" t="e">
        <f t="shared" si="15"/>
        <v>#VALUE!</v>
      </c>
      <c r="F33" s="43">
        <f t="shared" si="7"/>
        <v>0</v>
      </c>
      <c r="G33" s="40" t="e">
        <f t="shared" si="8"/>
        <v>#VALUE!</v>
      </c>
      <c r="H33" s="40" t="s">
        <v>92</v>
      </c>
    </row>
    <row r="34" spans="2:8" x14ac:dyDescent="0.4">
      <c r="B34" s="41">
        <v>28</v>
      </c>
      <c r="C34" s="42" t="e">
        <f t="shared" si="13"/>
        <v>#VALUE!</v>
      </c>
      <c r="D34" s="43" t="e">
        <f t="shared" si="16"/>
        <v>#VALUE!</v>
      </c>
      <c r="E34" s="43" t="e">
        <f t="shared" si="15"/>
        <v>#VALUE!</v>
      </c>
      <c r="F34" s="43">
        <f t="shared" si="7"/>
        <v>0</v>
      </c>
      <c r="G34" s="40" t="e">
        <f t="shared" si="8"/>
        <v>#VALUE!</v>
      </c>
      <c r="H34" s="40" t="s">
        <v>92</v>
      </c>
    </row>
    <row r="35" spans="2:8" x14ac:dyDescent="0.4">
      <c r="B35" s="41">
        <v>29</v>
      </c>
      <c r="C35" s="42" t="e">
        <f t="shared" si="13"/>
        <v>#VALUE!</v>
      </c>
      <c r="D35" s="43" t="e">
        <f t="shared" si="16"/>
        <v>#VALUE!</v>
      </c>
      <c r="E35" s="43" t="e">
        <f t="shared" si="15"/>
        <v>#VALUE!</v>
      </c>
      <c r="F35" s="43">
        <f t="shared" si="7"/>
        <v>0</v>
      </c>
      <c r="G35" s="40" t="e">
        <f t="shared" si="8"/>
        <v>#VALUE!</v>
      </c>
      <c r="H35" s="40" t="s">
        <v>92</v>
      </c>
    </row>
    <row r="36" spans="2:8" x14ac:dyDescent="0.4">
      <c r="B36" s="41">
        <v>30</v>
      </c>
      <c r="C36" s="42" t="e">
        <f t="shared" si="13"/>
        <v>#VALUE!</v>
      </c>
      <c r="D36" s="43" t="e">
        <f t="shared" si="16"/>
        <v>#VALUE!</v>
      </c>
      <c r="E36" s="43" t="e">
        <f t="shared" si="15"/>
        <v>#VALUE!</v>
      </c>
      <c r="F36" s="43">
        <f t="shared" si="7"/>
        <v>0</v>
      </c>
      <c r="G36" s="40" t="e">
        <f t="shared" si="8"/>
        <v>#VALUE!</v>
      </c>
      <c r="H36" s="40" t="s">
        <v>92</v>
      </c>
    </row>
    <row r="37" spans="2:8" x14ac:dyDescent="0.4">
      <c r="B37" s="41">
        <v>31</v>
      </c>
      <c r="C37" s="42" t="e">
        <f t="shared" si="13"/>
        <v>#VALUE!</v>
      </c>
      <c r="D37" s="43" t="e">
        <f t="shared" si="16"/>
        <v>#VALUE!</v>
      </c>
      <c r="E37" s="43" t="e">
        <f t="shared" si="15"/>
        <v>#VALUE!</v>
      </c>
      <c r="F37" s="43">
        <f t="shared" si="7"/>
        <v>0</v>
      </c>
      <c r="G37" s="40" t="e">
        <f t="shared" si="8"/>
        <v>#VALUE!</v>
      </c>
      <c r="H37" s="40" t="s">
        <v>92</v>
      </c>
    </row>
    <row r="38" spans="2:8" x14ac:dyDescent="0.4">
      <c r="B38" s="41">
        <v>32</v>
      </c>
      <c r="C38" s="42" t="e">
        <f t="shared" si="13"/>
        <v>#VALUE!</v>
      </c>
      <c r="D38" s="43" t="e">
        <f t="shared" si="16"/>
        <v>#VALUE!</v>
      </c>
      <c r="E38" s="43" t="e">
        <f t="shared" si="15"/>
        <v>#VALUE!</v>
      </c>
      <c r="F38" s="43">
        <f t="shared" si="7"/>
        <v>0</v>
      </c>
      <c r="G38" s="40" t="e">
        <f t="shared" si="8"/>
        <v>#VALUE!</v>
      </c>
      <c r="H38" s="40" t="s">
        <v>92</v>
      </c>
    </row>
    <row r="39" spans="2:8" x14ac:dyDescent="0.4">
      <c r="B39" s="41">
        <v>33</v>
      </c>
      <c r="C39" s="42" t="e">
        <f t="shared" si="13"/>
        <v>#VALUE!</v>
      </c>
      <c r="D39" s="43" t="e">
        <f t="shared" si="16"/>
        <v>#VALUE!</v>
      </c>
      <c r="E39" s="43" t="e">
        <f t="shared" si="15"/>
        <v>#VALUE!</v>
      </c>
      <c r="F39" s="43">
        <f t="shared" si="7"/>
        <v>0</v>
      </c>
      <c r="G39" s="40" t="e">
        <f t="shared" si="8"/>
        <v>#VALUE!</v>
      </c>
      <c r="H39" s="40" t="s">
        <v>92</v>
      </c>
    </row>
    <row r="40" spans="2:8" x14ac:dyDescent="0.4">
      <c r="B40" s="41">
        <v>34</v>
      </c>
      <c r="C40" s="42" t="e">
        <f t="shared" si="13"/>
        <v>#VALUE!</v>
      </c>
      <c r="D40" s="43" t="e">
        <f t="shared" si="16"/>
        <v>#VALUE!</v>
      </c>
      <c r="E40" s="43" t="e">
        <f t="shared" si="15"/>
        <v>#VALUE!</v>
      </c>
      <c r="F40" s="43">
        <f t="shared" ref="F40:F71" si="17">IFERROR(F39-D40,0)</f>
        <v>0</v>
      </c>
      <c r="G40" s="40" t="e">
        <f t="shared" si="8"/>
        <v>#VALUE!</v>
      </c>
      <c r="H40" s="40" t="s">
        <v>92</v>
      </c>
    </row>
    <row r="41" spans="2:8" x14ac:dyDescent="0.4">
      <c r="B41" s="41">
        <v>35</v>
      </c>
      <c r="C41" s="42" t="e">
        <f t="shared" si="13"/>
        <v>#VALUE!</v>
      </c>
      <c r="D41" s="43" t="e">
        <f t="shared" si="16"/>
        <v>#VALUE!</v>
      </c>
      <c r="E41" s="43" t="e">
        <f t="shared" si="15"/>
        <v>#VALUE!</v>
      </c>
      <c r="F41" s="43">
        <f t="shared" si="17"/>
        <v>0</v>
      </c>
      <c r="G41" s="40" t="e">
        <f t="shared" si="8"/>
        <v>#VALUE!</v>
      </c>
      <c r="H41" s="40" t="s">
        <v>92</v>
      </c>
    </row>
    <row r="42" spans="2:8" x14ac:dyDescent="0.4">
      <c r="B42" s="41">
        <v>36</v>
      </c>
      <c r="C42" s="42" t="e">
        <f t="shared" si="13"/>
        <v>#VALUE!</v>
      </c>
      <c r="D42" s="43" t="e">
        <f t="shared" si="16"/>
        <v>#VALUE!</v>
      </c>
      <c r="E42" s="43" t="e">
        <f t="shared" si="15"/>
        <v>#VALUE!</v>
      </c>
      <c r="F42" s="43">
        <f t="shared" si="17"/>
        <v>0</v>
      </c>
      <c r="G42" s="40" t="e">
        <f t="shared" si="8"/>
        <v>#VALUE!</v>
      </c>
      <c r="H42" s="40" t="s">
        <v>92</v>
      </c>
    </row>
    <row r="43" spans="2:8" x14ac:dyDescent="0.4">
      <c r="B43" s="41">
        <v>37</v>
      </c>
      <c r="C43" s="42" t="e">
        <f t="shared" si="13"/>
        <v>#VALUE!</v>
      </c>
      <c r="D43" s="43" t="e">
        <f t="shared" si="16"/>
        <v>#VALUE!</v>
      </c>
      <c r="E43" s="43" t="e">
        <f t="shared" si="15"/>
        <v>#VALUE!</v>
      </c>
      <c r="F43" s="43">
        <f t="shared" si="17"/>
        <v>0</v>
      </c>
      <c r="G43" s="40" t="e">
        <f t="shared" si="8"/>
        <v>#VALUE!</v>
      </c>
      <c r="H43" s="40" t="str">
        <f t="shared" ref="H43:H54" si="18">IF($R$2=3,"","〇")</f>
        <v>〇</v>
      </c>
    </row>
    <row r="44" spans="2:8" x14ac:dyDescent="0.4">
      <c r="B44" s="41">
        <v>38</v>
      </c>
      <c r="C44" s="42" t="e">
        <f t="shared" si="13"/>
        <v>#VALUE!</v>
      </c>
      <c r="D44" s="43" t="e">
        <f t="shared" si="16"/>
        <v>#VALUE!</v>
      </c>
      <c r="E44" s="43" t="e">
        <f t="shared" si="15"/>
        <v>#VALUE!</v>
      </c>
      <c r="F44" s="43">
        <f t="shared" si="17"/>
        <v>0</v>
      </c>
      <c r="G44" s="40" t="e">
        <f t="shared" si="8"/>
        <v>#VALUE!</v>
      </c>
      <c r="H44" s="40" t="str">
        <f t="shared" si="18"/>
        <v>〇</v>
      </c>
    </row>
    <row r="45" spans="2:8" x14ac:dyDescent="0.4">
      <c r="B45" s="41">
        <v>39</v>
      </c>
      <c r="C45" s="42" t="e">
        <f t="shared" si="13"/>
        <v>#VALUE!</v>
      </c>
      <c r="D45" s="43" t="e">
        <f t="shared" si="16"/>
        <v>#VALUE!</v>
      </c>
      <c r="E45" s="43" t="e">
        <f t="shared" si="15"/>
        <v>#VALUE!</v>
      </c>
      <c r="F45" s="43">
        <f t="shared" si="17"/>
        <v>0</v>
      </c>
      <c r="G45" s="40" t="e">
        <f t="shared" si="8"/>
        <v>#VALUE!</v>
      </c>
      <c r="H45" s="40" t="str">
        <f t="shared" si="18"/>
        <v>〇</v>
      </c>
    </row>
    <row r="46" spans="2:8" x14ac:dyDescent="0.4">
      <c r="B46" s="41">
        <v>40</v>
      </c>
      <c r="C46" s="42" t="e">
        <f t="shared" si="13"/>
        <v>#VALUE!</v>
      </c>
      <c r="D46" s="43" t="e">
        <f t="shared" si="16"/>
        <v>#VALUE!</v>
      </c>
      <c r="E46" s="43" t="e">
        <f t="shared" si="15"/>
        <v>#VALUE!</v>
      </c>
      <c r="F46" s="43">
        <f t="shared" si="17"/>
        <v>0</v>
      </c>
      <c r="G46" s="40" t="e">
        <f t="shared" si="8"/>
        <v>#VALUE!</v>
      </c>
      <c r="H46" s="40" t="str">
        <f t="shared" si="18"/>
        <v>〇</v>
      </c>
    </row>
    <row r="47" spans="2:8" x14ac:dyDescent="0.4">
      <c r="B47" s="41">
        <v>41</v>
      </c>
      <c r="C47" s="42" t="e">
        <f t="shared" si="13"/>
        <v>#VALUE!</v>
      </c>
      <c r="D47" s="43" t="e">
        <f t="shared" si="16"/>
        <v>#VALUE!</v>
      </c>
      <c r="E47" s="43" t="e">
        <f t="shared" si="15"/>
        <v>#VALUE!</v>
      </c>
      <c r="F47" s="43">
        <f t="shared" si="17"/>
        <v>0</v>
      </c>
      <c r="G47" s="40" t="e">
        <f t="shared" si="8"/>
        <v>#VALUE!</v>
      </c>
      <c r="H47" s="40" t="str">
        <f t="shared" si="18"/>
        <v>〇</v>
      </c>
    </row>
    <row r="48" spans="2:8" x14ac:dyDescent="0.4">
      <c r="B48" s="41">
        <v>42</v>
      </c>
      <c r="C48" s="42" t="e">
        <f t="shared" si="13"/>
        <v>#VALUE!</v>
      </c>
      <c r="D48" s="43" t="e">
        <f t="shared" si="16"/>
        <v>#VALUE!</v>
      </c>
      <c r="E48" s="43" t="e">
        <f t="shared" ref="E48:E79" si="19">IF($C48="","",IF(F49=0,ROUNDDOWN((C49-C48+1)/365*F48*$C$2,0),ROUNDDOWN((C49-C48)/365*F48*$C$2,0)))</f>
        <v>#VALUE!</v>
      </c>
      <c r="F48" s="43">
        <f t="shared" si="17"/>
        <v>0</v>
      </c>
      <c r="G48" s="40" t="e">
        <f t="shared" si="8"/>
        <v>#VALUE!</v>
      </c>
      <c r="H48" s="40" t="str">
        <f t="shared" si="18"/>
        <v>〇</v>
      </c>
    </row>
    <row r="49" spans="2:8" x14ac:dyDescent="0.4">
      <c r="B49" s="41">
        <v>43</v>
      </c>
      <c r="C49" s="42" t="e">
        <f t="shared" si="13"/>
        <v>#VALUE!</v>
      </c>
      <c r="D49" s="43" t="e">
        <f t="shared" si="16"/>
        <v>#VALUE!</v>
      </c>
      <c r="E49" s="43" t="e">
        <f t="shared" si="19"/>
        <v>#VALUE!</v>
      </c>
      <c r="F49" s="43">
        <f t="shared" si="17"/>
        <v>0</v>
      </c>
      <c r="G49" s="40" t="e">
        <f t="shared" si="8"/>
        <v>#VALUE!</v>
      </c>
      <c r="H49" s="40" t="str">
        <f t="shared" si="18"/>
        <v>〇</v>
      </c>
    </row>
    <row r="50" spans="2:8" x14ac:dyDescent="0.4">
      <c r="B50" s="41">
        <v>44</v>
      </c>
      <c r="C50" s="42" t="e">
        <f t="shared" si="13"/>
        <v>#VALUE!</v>
      </c>
      <c r="D50" s="43" t="e">
        <f t="shared" si="16"/>
        <v>#VALUE!</v>
      </c>
      <c r="E50" s="43" t="e">
        <f t="shared" si="19"/>
        <v>#VALUE!</v>
      </c>
      <c r="F50" s="43">
        <f t="shared" si="17"/>
        <v>0</v>
      </c>
      <c r="G50" s="40" t="e">
        <f t="shared" si="8"/>
        <v>#VALUE!</v>
      </c>
      <c r="H50" s="40" t="str">
        <f t="shared" si="18"/>
        <v>〇</v>
      </c>
    </row>
    <row r="51" spans="2:8" x14ac:dyDescent="0.4">
      <c r="B51" s="41">
        <v>45</v>
      </c>
      <c r="C51" s="42" t="e">
        <f t="shared" si="13"/>
        <v>#VALUE!</v>
      </c>
      <c r="D51" s="43" t="e">
        <f t="shared" si="16"/>
        <v>#VALUE!</v>
      </c>
      <c r="E51" s="43" t="e">
        <f t="shared" si="19"/>
        <v>#VALUE!</v>
      </c>
      <c r="F51" s="43">
        <f t="shared" si="17"/>
        <v>0</v>
      </c>
      <c r="G51" s="40" t="e">
        <f t="shared" si="8"/>
        <v>#VALUE!</v>
      </c>
      <c r="H51" s="40" t="str">
        <f t="shared" si="18"/>
        <v>〇</v>
      </c>
    </row>
    <row r="52" spans="2:8" x14ac:dyDescent="0.4">
      <c r="B52" s="41">
        <v>46</v>
      </c>
      <c r="C52" s="42" t="e">
        <f t="shared" si="13"/>
        <v>#VALUE!</v>
      </c>
      <c r="D52" s="43" t="e">
        <f t="shared" si="16"/>
        <v>#VALUE!</v>
      </c>
      <c r="E52" s="43" t="e">
        <f t="shared" si="19"/>
        <v>#VALUE!</v>
      </c>
      <c r="F52" s="43">
        <f t="shared" si="17"/>
        <v>0</v>
      </c>
      <c r="G52" s="40" t="e">
        <f t="shared" si="8"/>
        <v>#VALUE!</v>
      </c>
      <c r="H52" s="40" t="str">
        <f t="shared" si="18"/>
        <v>〇</v>
      </c>
    </row>
    <row r="53" spans="2:8" x14ac:dyDescent="0.4">
      <c r="B53" s="41">
        <v>47</v>
      </c>
      <c r="C53" s="42" t="e">
        <f t="shared" si="13"/>
        <v>#VALUE!</v>
      </c>
      <c r="D53" s="43" t="e">
        <f t="shared" si="16"/>
        <v>#VALUE!</v>
      </c>
      <c r="E53" s="43" t="e">
        <f t="shared" si="19"/>
        <v>#VALUE!</v>
      </c>
      <c r="F53" s="43">
        <f t="shared" si="17"/>
        <v>0</v>
      </c>
      <c r="G53" s="40" t="e">
        <f t="shared" si="8"/>
        <v>#VALUE!</v>
      </c>
      <c r="H53" s="40" t="str">
        <f t="shared" si="18"/>
        <v>〇</v>
      </c>
    </row>
    <row r="54" spans="2:8" x14ac:dyDescent="0.4">
      <c r="B54" s="41">
        <v>48</v>
      </c>
      <c r="C54" s="42" t="e">
        <f t="shared" si="13"/>
        <v>#VALUE!</v>
      </c>
      <c r="D54" s="43" t="e">
        <f t="shared" si="16"/>
        <v>#VALUE!</v>
      </c>
      <c r="E54" s="43" t="e">
        <f t="shared" si="19"/>
        <v>#VALUE!</v>
      </c>
      <c r="F54" s="43">
        <f t="shared" si="17"/>
        <v>0</v>
      </c>
      <c r="G54" s="40" t="e">
        <f t="shared" si="8"/>
        <v>#VALUE!</v>
      </c>
      <c r="H54" s="40" t="str">
        <f t="shared" si="18"/>
        <v>〇</v>
      </c>
    </row>
    <row r="55" spans="2:8" x14ac:dyDescent="0.4">
      <c r="B55" s="41">
        <v>49</v>
      </c>
      <c r="C55" s="42" t="e">
        <f t="shared" si="13"/>
        <v>#VALUE!</v>
      </c>
      <c r="D55" s="43" t="e">
        <f t="shared" si="16"/>
        <v>#VALUE!</v>
      </c>
      <c r="E55" s="43" t="e">
        <f t="shared" si="19"/>
        <v>#VALUE!</v>
      </c>
      <c r="F55" s="43">
        <f t="shared" si="17"/>
        <v>0</v>
      </c>
      <c r="G55" s="40" t="e">
        <f t="shared" si="8"/>
        <v>#VALUE!</v>
      </c>
      <c r="H55" s="40" t="e">
        <f t="shared" ref="H55:H89" si="20">IF(OR($R$2=3,$R$2=4,$D55=0),"","〇")</f>
        <v>#VALUE!</v>
      </c>
    </row>
    <row r="56" spans="2:8" x14ac:dyDescent="0.4">
      <c r="B56" s="41">
        <v>50</v>
      </c>
      <c r="C56" s="42" t="e">
        <f t="shared" si="13"/>
        <v>#VALUE!</v>
      </c>
      <c r="D56" s="43" t="e">
        <f t="shared" si="16"/>
        <v>#VALUE!</v>
      </c>
      <c r="E56" s="43" t="e">
        <f t="shared" si="19"/>
        <v>#VALUE!</v>
      </c>
      <c r="F56" s="43">
        <f t="shared" si="17"/>
        <v>0</v>
      </c>
      <c r="G56" s="40" t="e">
        <f t="shared" si="8"/>
        <v>#VALUE!</v>
      </c>
      <c r="H56" s="40" t="e">
        <f t="shared" si="20"/>
        <v>#VALUE!</v>
      </c>
    </row>
    <row r="57" spans="2:8" x14ac:dyDescent="0.4">
      <c r="B57" s="41">
        <v>51</v>
      </c>
      <c r="C57" s="42" t="e">
        <f t="shared" si="13"/>
        <v>#VALUE!</v>
      </c>
      <c r="D57" s="43" t="e">
        <f t="shared" si="16"/>
        <v>#VALUE!</v>
      </c>
      <c r="E57" s="43" t="e">
        <f t="shared" si="19"/>
        <v>#VALUE!</v>
      </c>
      <c r="F57" s="43">
        <f t="shared" si="17"/>
        <v>0</v>
      </c>
      <c r="G57" s="40" t="e">
        <f t="shared" si="8"/>
        <v>#VALUE!</v>
      </c>
      <c r="H57" s="40" t="e">
        <f t="shared" si="20"/>
        <v>#VALUE!</v>
      </c>
    </row>
    <row r="58" spans="2:8" x14ac:dyDescent="0.4">
      <c r="B58" s="41">
        <v>52</v>
      </c>
      <c r="C58" s="42" t="e">
        <f t="shared" si="13"/>
        <v>#VALUE!</v>
      </c>
      <c r="D58" s="43" t="e">
        <f t="shared" si="16"/>
        <v>#VALUE!</v>
      </c>
      <c r="E58" s="43" t="e">
        <f t="shared" si="19"/>
        <v>#VALUE!</v>
      </c>
      <c r="F58" s="43">
        <f t="shared" si="17"/>
        <v>0</v>
      </c>
      <c r="G58" s="40" t="e">
        <f t="shared" si="8"/>
        <v>#VALUE!</v>
      </c>
      <c r="H58" s="40" t="e">
        <f t="shared" si="20"/>
        <v>#VALUE!</v>
      </c>
    </row>
    <row r="59" spans="2:8" x14ac:dyDescent="0.4">
      <c r="B59" s="41">
        <v>53</v>
      </c>
      <c r="C59" s="42" t="e">
        <f t="shared" si="13"/>
        <v>#VALUE!</v>
      </c>
      <c r="D59" s="43" t="e">
        <f t="shared" si="16"/>
        <v>#VALUE!</v>
      </c>
      <c r="E59" s="43" t="e">
        <f t="shared" si="19"/>
        <v>#VALUE!</v>
      </c>
      <c r="F59" s="43">
        <f t="shared" si="17"/>
        <v>0</v>
      </c>
      <c r="G59" s="40" t="e">
        <f t="shared" si="8"/>
        <v>#VALUE!</v>
      </c>
      <c r="H59" s="40" t="e">
        <f t="shared" si="20"/>
        <v>#VALUE!</v>
      </c>
    </row>
    <row r="60" spans="2:8" x14ac:dyDescent="0.4">
      <c r="B60" s="41">
        <v>54</v>
      </c>
      <c r="C60" s="42" t="e">
        <f t="shared" si="13"/>
        <v>#VALUE!</v>
      </c>
      <c r="D60" s="43" t="e">
        <f t="shared" si="16"/>
        <v>#VALUE!</v>
      </c>
      <c r="E60" s="43" t="e">
        <f t="shared" si="19"/>
        <v>#VALUE!</v>
      </c>
      <c r="F60" s="43">
        <f t="shared" si="17"/>
        <v>0</v>
      </c>
      <c r="G60" s="40" t="e">
        <f t="shared" si="8"/>
        <v>#VALUE!</v>
      </c>
      <c r="H60" s="40" t="e">
        <f t="shared" si="20"/>
        <v>#VALUE!</v>
      </c>
    </row>
    <row r="61" spans="2:8" x14ac:dyDescent="0.4">
      <c r="B61" s="41">
        <v>55</v>
      </c>
      <c r="C61" s="42" t="e">
        <f t="shared" si="13"/>
        <v>#VALUE!</v>
      </c>
      <c r="D61" s="43" t="e">
        <f t="shared" si="16"/>
        <v>#VALUE!</v>
      </c>
      <c r="E61" s="43" t="e">
        <f t="shared" si="19"/>
        <v>#VALUE!</v>
      </c>
      <c r="F61" s="43">
        <f t="shared" si="17"/>
        <v>0</v>
      </c>
      <c r="G61" s="40" t="e">
        <f t="shared" si="8"/>
        <v>#VALUE!</v>
      </c>
      <c r="H61" s="40" t="e">
        <f t="shared" si="20"/>
        <v>#VALUE!</v>
      </c>
    </row>
    <row r="62" spans="2:8" x14ac:dyDescent="0.4">
      <c r="B62" s="41">
        <v>56</v>
      </c>
      <c r="C62" s="42" t="e">
        <f t="shared" si="13"/>
        <v>#VALUE!</v>
      </c>
      <c r="D62" s="43" t="e">
        <f t="shared" si="16"/>
        <v>#VALUE!</v>
      </c>
      <c r="E62" s="43" t="e">
        <f t="shared" si="19"/>
        <v>#VALUE!</v>
      </c>
      <c r="F62" s="43">
        <f t="shared" si="17"/>
        <v>0</v>
      </c>
      <c r="G62" s="40" t="e">
        <f t="shared" si="8"/>
        <v>#VALUE!</v>
      </c>
      <c r="H62" s="40" t="e">
        <f t="shared" si="20"/>
        <v>#VALUE!</v>
      </c>
    </row>
    <row r="63" spans="2:8" x14ac:dyDescent="0.4">
      <c r="B63" s="41">
        <v>57</v>
      </c>
      <c r="C63" s="42" t="e">
        <f t="shared" si="13"/>
        <v>#VALUE!</v>
      </c>
      <c r="D63" s="43" t="e">
        <f t="shared" si="16"/>
        <v>#VALUE!</v>
      </c>
      <c r="E63" s="43" t="e">
        <f t="shared" si="19"/>
        <v>#VALUE!</v>
      </c>
      <c r="F63" s="43">
        <f t="shared" si="17"/>
        <v>0</v>
      </c>
      <c r="G63" s="40" t="e">
        <f t="shared" si="8"/>
        <v>#VALUE!</v>
      </c>
      <c r="H63" s="40" t="e">
        <f t="shared" si="20"/>
        <v>#VALUE!</v>
      </c>
    </row>
    <row r="64" spans="2:8" x14ac:dyDescent="0.4">
      <c r="B64" s="41">
        <v>58</v>
      </c>
      <c r="C64" s="42" t="e">
        <f t="shared" si="13"/>
        <v>#VALUE!</v>
      </c>
      <c r="D64" s="43" t="e">
        <f t="shared" si="16"/>
        <v>#VALUE!</v>
      </c>
      <c r="E64" s="43" t="e">
        <f t="shared" si="19"/>
        <v>#VALUE!</v>
      </c>
      <c r="F64" s="43">
        <f t="shared" si="17"/>
        <v>0</v>
      </c>
      <c r="G64" s="40" t="e">
        <f t="shared" si="8"/>
        <v>#VALUE!</v>
      </c>
      <c r="H64" s="40" t="e">
        <f t="shared" si="20"/>
        <v>#VALUE!</v>
      </c>
    </row>
    <row r="65" spans="2:8" x14ac:dyDescent="0.4">
      <c r="B65" s="41">
        <v>59</v>
      </c>
      <c r="C65" s="42" t="e">
        <f t="shared" si="13"/>
        <v>#VALUE!</v>
      </c>
      <c r="D65" s="43" t="e">
        <f t="shared" si="16"/>
        <v>#VALUE!</v>
      </c>
      <c r="E65" s="43" t="e">
        <f t="shared" si="19"/>
        <v>#VALUE!</v>
      </c>
      <c r="F65" s="43">
        <f t="shared" si="17"/>
        <v>0</v>
      </c>
      <c r="G65" s="40" t="e">
        <f t="shared" si="8"/>
        <v>#VALUE!</v>
      </c>
      <c r="H65" s="40" t="e">
        <f t="shared" si="20"/>
        <v>#VALUE!</v>
      </c>
    </row>
    <row r="66" spans="2:8" x14ac:dyDescent="0.4">
      <c r="B66" s="41">
        <v>60</v>
      </c>
      <c r="C66" s="42" t="e">
        <f t="shared" si="13"/>
        <v>#VALUE!</v>
      </c>
      <c r="D66" s="43" t="e">
        <f t="shared" si="16"/>
        <v>#VALUE!</v>
      </c>
      <c r="E66" s="43" t="e">
        <f t="shared" si="19"/>
        <v>#VALUE!</v>
      </c>
      <c r="F66" s="43">
        <f t="shared" si="17"/>
        <v>0</v>
      </c>
      <c r="G66" s="40" t="e">
        <f t="shared" si="8"/>
        <v>#VALUE!</v>
      </c>
      <c r="H66" s="40" t="e">
        <f t="shared" si="20"/>
        <v>#VALUE!</v>
      </c>
    </row>
    <row r="67" spans="2:8" x14ac:dyDescent="0.4">
      <c r="B67" s="41">
        <v>61</v>
      </c>
      <c r="C67" s="42" t="e">
        <f t="shared" si="13"/>
        <v>#VALUE!</v>
      </c>
      <c r="D67" s="43" t="e">
        <f t="shared" si="16"/>
        <v>#VALUE!</v>
      </c>
      <c r="E67" s="43" t="e">
        <f t="shared" si="19"/>
        <v>#VALUE!</v>
      </c>
      <c r="F67" s="43">
        <f t="shared" si="17"/>
        <v>0</v>
      </c>
      <c r="G67" s="40" t="e">
        <f t="shared" si="8"/>
        <v>#VALUE!</v>
      </c>
      <c r="H67" s="40" t="e">
        <f t="shared" si="20"/>
        <v>#VALUE!</v>
      </c>
    </row>
    <row r="68" spans="2:8" x14ac:dyDescent="0.4">
      <c r="B68" s="41">
        <v>62</v>
      </c>
      <c r="C68" s="42" t="e">
        <f t="shared" si="13"/>
        <v>#VALUE!</v>
      </c>
      <c r="D68" s="43" t="e">
        <f t="shared" si="16"/>
        <v>#VALUE!</v>
      </c>
      <c r="E68" s="43" t="e">
        <f t="shared" si="19"/>
        <v>#VALUE!</v>
      </c>
      <c r="F68" s="43">
        <f t="shared" si="17"/>
        <v>0</v>
      </c>
      <c r="G68" s="40" t="e">
        <f t="shared" si="8"/>
        <v>#VALUE!</v>
      </c>
      <c r="H68" s="40" t="e">
        <f t="shared" si="20"/>
        <v>#VALUE!</v>
      </c>
    </row>
    <row r="69" spans="2:8" x14ac:dyDescent="0.4">
      <c r="B69" s="41">
        <v>63</v>
      </c>
      <c r="C69" s="42" t="e">
        <f t="shared" si="13"/>
        <v>#VALUE!</v>
      </c>
      <c r="D69" s="43" t="e">
        <f t="shared" si="16"/>
        <v>#VALUE!</v>
      </c>
      <c r="E69" s="43" t="e">
        <f t="shared" si="19"/>
        <v>#VALUE!</v>
      </c>
      <c r="F69" s="43">
        <f t="shared" si="17"/>
        <v>0</v>
      </c>
      <c r="G69" s="40" t="e">
        <f t="shared" si="8"/>
        <v>#VALUE!</v>
      </c>
      <c r="H69" s="40" t="e">
        <f t="shared" si="20"/>
        <v>#VALUE!</v>
      </c>
    </row>
    <row r="70" spans="2:8" x14ac:dyDescent="0.4">
      <c r="B70" s="41">
        <v>64</v>
      </c>
      <c r="C70" s="42" t="e">
        <f t="shared" si="13"/>
        <v>#VALUE!</v>
      </c>
      <c r="D70" s="43" t="e">
        <f t="shared" si="16"/>
        <v>#VALUE!</v>
      </c>
      <c r="E70" s="43" t="e">
        <f t="shared" si="19"/>
        <v>#VALUE!</v>
      </c>
      <c r="F70" s="43">
        <f t="shared" si="17"/>
        <v>0</v>
      </c>
      <c r="G70" s="40" t="e">
        <f t="shared" si="8"/>
        <v>#VALUE!</v>
      </c>
      <c r="H70" s="40" t="e">
        <f t="shared" si="20"/>
        <v>#VALUE!</v>
      </c>
    </row>
    <row r="71" spans="2:8" x14ac:dyDescent="0.4">
      <c r="B71" s="41">
        <v>65</v>
      </c>
      <c r="C71" s="42" t="e">
        <f t="shared" si="13"/>
        <v>#VALUE!</v>
      </c>
      <c r="D71" s="43" t="e">
        <f t="shared" si="16"/>
        <v>#VALUE!</v>
      </c>
      <c r="E71" s="43" t="e">
        <f t="shared" si="19"/>
        <v>#VALUE!</v>
      </c>
      <c r="F71" s="43">
        <f t="shared" si="17"/>
        <v>0</v>
      </c>
      <c r="G71" s="40" t="e">
        <f t="shared" si="8"/>
        <v>#VALUE!</v>
      </c>
      <c r="H71" s="40" t="e">
        <f t="shared" si="20"/>
        <v>#VALUE!</v>
      </c>
    </row>
    <row r="72" spans="2:8" x14ac:dyDescent="0.4">
      <c r="B72" s="41">
        <v>66</v>
      </c>
      <c r="C72" s="42" t="e">
        <f t="shared" si="13"/>
        <v>#VALUE!</v>
      </c>
      <c r="D72" s="43" t="e">
        <f t="shared" si="16"/>
        <v>#VALUE!</v>
      </c>
      <c r="E72" s="43" t="e">
        <f t="shared" si="19"/>
        <v>#VALUE!</v>
      </c>
      <c r="F72" s="43">
        <f t="shared" ref="F72:F89" si="21">IFERROR(F71-D72,0)</f>
        <v>0</v>
      </c>
      <c r="G72" s="40" t="e">
        <f t="shared" ref="G72:G89" si="22">YEAR(EDATE(C72,-3))</f>
        <v>#VALUE!</v>
      </c>
      <c r="H72" s="40" t="e">
        <f t="shared" si="20"/>
        <v>#VALUE!</v>
      </c>
    </row>
    <row r="73" spans="2:8" x14ac:dyDescent="0.4">
      <c r="B73" s="41">
        <v>67</v>
      </c>
      <c r="C73" s="42" t="e">
        <f t="shared" si="13"/>
        <v>#VALUE!</v>
      </c>
      <c r="D73" s="43" t="e">
        <f t="shared" si="16"/>
        <v>#VALUE!</v>
      </c>
      <c r="E73" s="43" t="e">
        <f t="shared" si="19"/>
        <v>#VALUE!</v>
      </c>
      <c r="F73" s="43">
        <f t="shared" si="21"/>
        <v>0</v>
      </c>
      <c r="G73" s="40" t="e">
        <f t="shared" si="22"/>
        <v>#VALUE!</v>
      </c>
      <c r="H73" s="40" t="e">
        <f t="shared" si="20"/>
        <v>#VALUE!</v>
      </c>
    </row>
    <row r="74" spans="2:8" x14ac:dyDescent="0.4">
      <c r="B74" s="41">
        <v>68</v>
      </c>
      <c r="C74" s="42" t="e">
        <f t="shared" ref="C74:C89" si="23">IF(C73="","",EDATE(C73,1))</f>
        <v>#VALUE!</v>
      </c>
      <c r="D74" s="43" t="e">
        <f t="shared" si="16"/>
        <v>#VALUE!</v>
      </c>
      <c r="E74" s="43" t="e">
        <f t="shared" si="19"/>
        <v>#VALUE!</v>
      </c>
      <c r="F74" s="43">
        <f t="shared" si="21"/>
        <v>0</v>
      </c>
      <c r="G74" s="40" t="e">
        <f t="shared" si="22"/>
        <v>#VALUE!</v>
      </c>
      <c r="H74" s="40" t="e">
        <f t="shared" si="20"/>
        <v>#VALUE!</v>
      </c>
    </row>
    <row r="75" spans="2:8" x14ac:dyDescent="0.4">
      <c r="B75" s="41">
        <v>69</v>
      </c>
      <c r="C75" s="42" t="e">
        <f t="shared" si="23"/>
        <v>#VALUE!</v>
      </c>
      <c r="D75" s="43" t="e">
        <f t="shared" si="16"/>
        <v>#VALUE!</v>
      </c>
      <c r="E75" s="43" t="e">
        <f t="shared" si="19"/>
        <v>#VALUE!</v>
      </c>
      <c r="F75" s="43">
        <f t="shared" si="21"/>
        <v>0</v>
      </c>
      <c r="G75" s="40" t="e">
        <f t="shared" si="22"/>
        <v>#VALUE!</v>
      </c>
      <c r="H75" s="40" t="e">
        <f t="shared" si="20"/>
        <v>#VALUE!</v>
      </c>
    </row>
    <row r="76" spans="2:8" x14ac:dyDescent="0.4">
      <c r="B76" s="41">
        <v>70</v>
      </c>
      <c r="C76" s="42" t="e">
        <f t="shared" si="23"/>
        <v>#VALUE!</v>
      </c>
      <c r="D76" s="43" t="e">
        <f t="shared" si="16"/>
        <v>#VALUE!</v>
      </c>
      <c r="E76" s="43" t="e">
        <f t="shared" si="19"/>
        <v>#VALUE!</v>
      </c>
      <c r="F76" s="43">
        <f t="shared" si="21"/>
        <v>0</v>
      </c>
      <c r="G76" s="40" t="e">
        <f t="shared" si="22"/>
        <v>#VALUE!</v>
      </c>
      <c r="H76" s="40" t="e">
        <f t="shared" si="20"/>
        <v>#VALUE!</v>
      </c>
    </row>
    <row r="77" spans="2:8" x14ac:dyDescent="0.4">
      <c r="B77" s="41">
        <v>71</v>
      </c>
      <c r="C77" s="42" t="e">
        <f t="shared" si="23"/>
        <v>#VALUE!</v>
      </c>
      <c r="D77" s="43" t="e">
        <f t="shared" si="16"/>
        <v>#VALUE!</v>
      </c>
      <c r="E77" s="43" t="e">
        <f t="shared" si="19"/>
        <v>#VALUE!</v>
      </c>
      <c r="F77" s="43">
        <f t="shared" si="21"/>
        <v>0</v>
      </c>
      <c r="G77" s="40" t="e">
        <f t="shared" si="22"/>
        <v>#VALUE!</v>
      </c>
      <c r="H77" s="40" t="e">
        <f t="shared" si="20"/>
        <v>#VALUE!</v>
      </c>
    </row>
    <row r="78" spans="2:8" x14ac:dyDescent="0.4">
      <c r="B78" s="41">
        <v>72</v>
      </c>
      <c r="C78" s="42" t="e">
        <f t="shared" si="23"/>
        <v>#VALUE!</v>
      </c>
      <c r="D78" s="43" t="e">
        <f t="shared" si="16"/>
        <v>#VALUE!</v>
      </c>
      <c r="E78" s="43" t="e">
        <f t="shared" si="19"/>
        <v>#VALUE!</v>
      </c>
      <c r="F78" s="43">
        <f t="shared" si="21"/>
        <v>0</v>
      </c>
      <c r="G78" s="40" t="e">
        <f t="shared" si="22"/>
        <v>#VALUE!</v>
      </c>
      <c r="H78" s="40" t="e">
        <f t="shared" si="20"/>
        <v>#VALUE!</v>
      </c>
    </row>
    <row r="79" spans="2:8" x14ac:dyDescent="0.4">
      <c r="B79" s="41">
        <v>73</v>
      </c>
      <c r="C79" s="42" t="e">
        <f t="shared" si="23"/>
        <v>#VALUE!</v>
      </c>
      <c r="D79" s="43" t="e">
        <f t="shared" si="16"/>
        <v>#VALUE!</v>
      </c>
      <c r="E79" s="43" t="e">
        <f t="shared" si="19"/>
        <v>#VALUE!</v>
      </c>
      <c r="F79" s="43">
        <f t="shared" si="21"/>
        <v>0</v>
      </c>
      <c r="G79" s="40" t="e">
        <f t="shared" si="22"/>
        <v>#VALUE!</v>
      </c>
      <c r="H79" s="40" t="e">
        <f t="shared" si="20"/>
        <v>#VALUE!</v>
      </c>
    </row>
    <row r="80" spans="2:8" x14ac:dyDescent="0.4">
      <c r="B80" s="41">
        <v>74</v>
      </c>
      <c r="C80" s="42" t="e">
        <f t="shared" si="23"/>
        <v>#VALUE!</v>
      </c>
      <c r="D80" s="43" t="e">
        <f t="shared" si="16"/>
        <v>#VALUE!</v>
      </c>
      <c r="E80" s="43" t="e">
        <f t="shared" ref="E80:E89" si="24">IF($C80="","",IF(F81=0,ROUNDDOWN((C81-C80+1)/365*F80*$C$2,0),ROUNDDOWN((C81-C80)/365*F80*$C$2,0)))</f>
        <v>#VALUE!</v>
      </c>
      <c r="F80" s="43">
        <f t="shared" si="21"/>
        <v>0</v>
      </c>
      <c r="G80" s="40" t="e">
        <f t="shared" si="22"/>
        <v>#VALUE!</v>
      </c>
      <c r="H80" s="40" t="e">
        <f t="shared" si="20"/>
        <v>#VALUE!</v>
      </c>
    </row>
    <row r="81" spans="2:8" x14ac:dyDescent="0.4">
      <c r="B81" s="41">
        <v>75</v>
      </c>
      <c r="C81" s="42" t="e">
        <f t="shared" si="23"/>
        <v>#VALUE!</v>
      </c>
      <c r="D81" s="43" t="e">
        <f t="shared" si="16"/>
        <v>#VALUE!</v>
      </c>
      <c r="E81" s="43" t="e">
        <f t="shared" si="24"/>
        <v>#VALUE!</v>
      </c>
      <c r="F81" s="43">
        <f t="shared" si="21"/>
        <v>0</v>
      </c>
      <c r="G81" s="40" t="e">
        <f t="shared" si="22"/>
        <v>#VALUE!</v>
      </c>
      <c r="H81" s="40" t="e">
        <f t="shared" si="20"/>
        <v>#VALUE!</v>
      </c>
    </row>
    <row r="82" spans="2:8" x14ac:dyDescent="0.4">
      <c r="B82" s="41">
        <v>76</v>
      </c>
      <c r="C82" s="42" t="e">
        <f t="shared" si="23"/>
        <v>#VALUE!</v>
      </c>
      <c r="D82" s="43" t="e">
        <f t="shared" si="16"/>
        <v>#VALUE!</v>
      </c>
      <c r="E82" s="43" t="e">
        <f t="shared" si="24"/>
        <v>#VALUE!</v>
      </c>
      <c r="F82" s="43">
        <f t="shared" si="21"/>
        <v>0</v>
      </c>
      <c r="G82" s="40" t="e">
        <f t="shared" si="22"/>
        <v>#VALUE!</v>
      </c>
      <c r="H82" s="40" t="e">
        <f t="shared" si="20"/>
        <v>#VALUE!</v>
      </c>
    </row>
    <row r="83" spans="2:8" x14ac:dyDescent="0.4">
      <c r="B83" s="41">
        <v>77</v>
      </c>
      <c r="C83" s="42" t="e">
        <f t="shared" si="23"/>
        <v>#VALUE!</v>
      </c>
      <c r="D83" s="43" t="e">
        <f t="shared" si="16"/>
        <v>#VALUE!</v>
      </c>
      <c r="E83" s="43" t="e">
        <f t="shared" si="24"/>
        <v>#VALUE!</v>
      </c>
      <c r="F83" s="43">
        <f t="shared" si="21"/>
        <v>0</v>
      </c>
      <c r="G83" s="40" t="e">
        <f t="shared" si="22"/>
        <v>#VALUE!</v>
      </c>
      <c r="H83" s="40" t="e">
        <f t="shared" si="20"/>
        <v>#VALUE!</v>
      </c>
    </row>
    <row r="84" spans="2:8" x14ac:dyDescent="0.4">
      <c r="B84" s="41">
        <v>78</v>
      </c>
      <c r="C84" s="42" t="e">
        <f t="shared" si="23"/>
        <v>#VALUE!</v>
      </c>
      <c r="D84" s="43" t="e">
        <f t="shared" si="16"/>
        <v>#VALUE!</v>
      </c>
      <c r="E84" s="43" t="e">
        <f t="shared" si="24"/>
        <v>#VALUE!</v>
      </c>
      <c r="F84" s="43">
        <f t="shared" si="21"/>
        <v>0</v>
      </c>
      <c r="G84" s="40" t="e">
        <f t="shared" si="22"/>
        <v>#VALUE!</v>
      </c>
      <c r="H84" s="40" t="e">
        <f t="shared" si="20"/>
        <v>#VALUE!</v>
      </c>
    </row>
    <row r="85" spans="2:8" x14ac:dyDescent="0.4">
      <c r="B85" s="41">
        <v>79</v>
      </c>
      <c r="C85" s="42" t="e">
        <f t="shared" si="23"/>
        <v>#VALUE!</v>
      </c>
      <c r="D85" s="43" t="e">
        <f t="shared" si="16"/>
        <v>#VALUE!</v>
      </c>
      <c r="E85" s="43" t="e">
        <f t="shared" si="24"/>
        <v>#VALUE!</v>
      </c>
      <c r="F85" s="43">
        <f t="shared" si="21"/>
        <v>0</v>
      </c>
      <c r="G85" s="40" t="e">
        <f t="shared" si="22"/>
        <v>#VALUE!</v>
      </c>
      <c r="H85" s="40" t="e">
        <f t="shared" si="20"/>
        <v>#VALUE!</v>
      </c>
    </row>
    <row r="86" spans="2:8" x14ac:dyDescent="0.4">
      <c r="B86" s="41">
        <v>80</v>
      </c>
      <c r="C86" s="42" t="e">
        <f t="shared" si="23"/>
        <v>#VALUE!</v>
      </c>
      <c r="D86" s="43" t="e">
        <f>IF(F85&lt;D85,F85,D85)</f>
        <v>#VALUE!</v>
      </c>
      <c r="E86" s="43" t="e">
        <f t="shared" si="24"/>
        <v>#VALUE!</v>
      </c>
      <c r="F86" s="43">
        <f t="shared" si="21"/>
        <v>0</v>
      </c>
      <c r="G86" s="40" t="e">
        <f t="shared" si="22"/>
        <v>#VALUE!</v>
      </c>
      <c r="H86" s="40" t="e">
        <f t="shared" si="20"/>
        <v>#VALUE!</v>
      </c>
    </row>
    <row r="87" spans="2:8" x14ac:dyDescent="0.4">
      <c r="B87" s="41">
        <v>81</v>
      </c>
      <c r="C87" s="42" t="e">
        <f t="shared" si="23"/>
        <v>#VALUE!</v>
      </c>
      <c r="D87" s="43" t="e">
        <f t="shared" ref="D87:D89" si="25">IF(F86&lt;D86,F86,D86)</f>
        <v>#VALUE!</v>
      </c>
      <c r="E87" s="43" t="e">
        <f>IF($C87="","",IF(F88=0,ROUNDDOWN((C88-C87+1)/365*F87*$C$2,0),ROUNDDOWN((C88-C87)/365*F87*$C$2,0)))</f>
        <v>#VALUE!</v>
      </c>
      <c r="F87" s="43">
        <f>IFERROR(F86-D87,0)</f>
        <v>0</v>
      </c>
      <c r="G87" s="40" t="e">
        <f t="shared" si="22"/>
        <v>#VALUE!</v>
      </c>
      <c r="H87" s="40" t="e">
        <f t="shared" si="20"/>
        <v>#VALUE!</v>
      </c>
    </row>
    <row r="88" spans="2:8" x14ac:dyDescent="0.4">
      <c r="B88" s="41">
        <v>82</v>
      </c>
      <c r="C88" s="42" t="e">
        <f t="shared" si="23"/>
        <v>#VALUE!</v>
      </c>
      <c r="D88" s="43" t="e">
        <f t="shared" si="25"/>
        <v>#VALUE!</v>
      </c>
      <c r="E88" s="43" t="e">
        <f t="shared" si="24"/>
        <v>#VALUE!</v>
      </c>
      <c r="F88" s="43">
        <f t="shared" si="21"/>
        <v>0</v>
      </c>
      <c r="G88" s="40" t="e">
        <f t="shared" si="22"/>
        <v>#VALUE!</v>
      </c>
      <c r="H88" s="40" t="e">
        <f t="shared" si="20"/>
        <v>#VALUE!</v>
      </c>
    </row>
    <row r="89" spans="2:8" ht="15" thickBot="1" x14ac:dyDescent="0.45">
      <c r="B89" s="52">
        <v>83</v>
      </c>
      <c r="C89" s="53" t="e">
        <f t="shared" si="23"/>
        <v>#VALUE!</v>
      </c>
      <c r="D89" s="54" t="e">
        <f t="shared" si="25"/>
        <v>#VALUE!</v>
      </c>
      <c r="E89" s="54" t="e">
        <f t="shared" si="24"/>
        <v>#VALUE!</v>
      </c>
      <c r="F89" s="54">
        <f t="shared" si="21"/>
        <v>0</v>
      </c>
      <c r="G89" s="40" t="e">
        <f t="shared" si="22"/>
        <v>#VALUE!</v>
      </c>
      <c r="H89" s="40" t="e">
        <f t="shared" si="20"/>
        <v>#VALUE!</v>
      </c>
    </row>
    <row r="90" spans="2:8" ht="15" thickTop="1" x14ac:dyDescent="0.4">
      <c r="B90" s="330" t="s">
        <v>44</v>
      </c>
      <c r="C90" s="331"/>
      <c r="D90" s="55" t="e">
        <f>SUM(D7:D89)</f>
        <v>#VALUE!</v>
      </c>
      <c r="E90" s="55" t="e">
        <f>SUM(E7:E89)</f>
        <v>#VALUE!</v>
      </c>
      <c r="F90" s="56"/>
      <c r="G90" s="57"/>
    </row>
  </sheetData>
  <mergeCells count="23">
    <mergeCell ref="G2:H2"/>
    <mergeCell ref="J15:K15"/>
    <mergeCell ref="C4:C5"/>
    <mergeCell ref="G4:G6"/>
    <mergeCell ref="H4:H6"/>
    <mergeCell ref="D4:D6"/>
    <mergeCell ref="E4:E6"/>
    <mergeCell ref="F4:F6"/>
    <mergeCell ref="J4:J6"/>
    <mergeCell ref="K4:K6"/>
    <mergeCell ref="L4:L6"/>
    <mergeCell ref="M5:M6"/>
    <mergeCell ref="B90:C90"/>
    <mergeCell ref="B4:B6"/>
    <mergeCell ref="P2:Q2"/>
    <mergeCell ref="N2:O2"/>
    <mergeCell ref="T4:T6"/>
    <mergeCell ref="U4:U6"/>
    <mergeCell ref="R4:R6"/>
    <mergeCell ref="S4:S6"/>
    <mergeCell ref="N4:Q4"/>
    <mergeCell ref="P5:Q5"/>
    <mergeCell ref="N5:O5"/>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F1A5-3B6C-4B60-8B1C-00E0C9BF807F}">
  <dimension ref="B2:M20"/>
  <sheetViews>
    <sheetView workbookViewId="0"/>
  </sheetViews>
  <sheetFormatPr defaultRowHeight="18.75" x14ac:dyDescent="0.4"/>
  <cols>
    <col min="1" max="1" width="4.875" customWidth="1"/>
    <col min="2" max="2" width="17.5" customWidth="1"/>
    <col min="3" max="4" width="10.875" customWidth="1"/>
    <col min="5" max="5" width="14.125" customWidth="1"/>
    <col min="6" max="6" width="9" style="1"/>
    <col min="7" max="7" width="14.375" customWidth="1"/>
    <col min="8" max="8" width="13.25" customWidth="1"/>
    <col min="9" max="9" width="5.25" bestFit="1" customWidth="1"/>
    <col min="10" max="10" width="11" bestFit="1" customWidth="1"/>
  </cols>
  <sheetData>
    <row r="2" spans="2:13" ht="37.5" x14ac:dyDescent="0.4">
      <c r="B2" s="3" t="s">
        <v>1</v>
      </c>
      <c r="C2" s="3" t="s">
        <v>2</v>
      </c>
      <c r="D2" s="3" t="s">
        <v>3</v>
      </c>
      <c r="E2" s="3" t="s">
        <v>4</v>
      </c>
      <c r="F2" s="3" t="s">
        <v>5</v>
      </c>
      <c r="G2" s="7" t="s">
        <v>47</v>
      </c>
      <c r="H2" s="7" t="s">
        <v>77</v>
      </c>
      <c r="I2" s="7" t="s">
        <v>85</v>
      </c>
      <c r="J2" s="3" t="s">
        <v>100</v>
      </c>
    </row>
    <row r="3" spans="2:13" x14ac:dyDescent="0.4">
      <c r="B3" s="3" t="s">
        <v>57</v>
      </c>
      <c r="C3" s="3"/>
      <c r="D3" s="3"/>
      <c r="E3" s="3"/>
      <c r="F3" s="3"/>
      <c r="G3" s="7"/>
      <c r="H3" s="7"/>
      <c r="I3" s="7"/>
      <c r="J3" s="3"/>
      <c r="L3" s="3" t="s">
        <v>87</v>
      </c>
      <c r="M3" s="3" t="s">
        <v>88</v>
      </c>
    </row>
    <row r="4" spans="2:13" x14ac:dyDescent="0.4">
      <c r="B4" s="4" t="s">
        <v>6</v>
      </c>
      <c r="C4" s="8">
        <v>1.1000000000000001</v>
      </c>
      <c r="D4" s="5">
        <v>5.0000000000000001E-3</v>
      </c>
      <c r="E4" s="6" t="s">
        <v>7</v>
      </c>
      <c r="F4" s="2" t="s">
        <v>8</v>
      </c>
      <c r="G4" s="2">
        <v>7</v>
      </c>
      <c r="H4" s="2" t="s">
        <v>78</v>
      </c>
      <c r="I4" s="2">
        <v>-3</v>
      </c>
      <c r="J4" s="73">
        <v>300000</v>
      </c>
      <c r="L4" s="2">
        <v>1</v>
      </c>
      <c r="M4" s="2">
        <v>10</v>
      </c>
    </row>
    <row r="5" spans="2:13" x14ac:dyDescent="0.4">
      <c r="B5" s="4" t="s">
        <v>9</v>
      </c>
      <c r="C5" s="8">
        <v>1.1000000000000001</v>
      </c>
      <c r="D5" s="5">
        <v>5.0000000000000001E-3</v>
      </c>
      <c r="E5" s="6" t="s">
        <v>7</v>
      </c>
      <c r="F5" s="2" t="s">
        <v>8</v>
      </c>
      <c r="G5" s="2">
        <v>7</v>
      </c>
      <c r="H5" s="2" t="s">
        <v>78</v>
      </c>
      <c r="I5" s="2">
        <v>-3</v>
      </c>
      <c r="J5" s="73">
        <v>300000</v>
      </c>
      <c r="L5" s="2">
        <v>2</v>
      </c>
      <c r="M5" s="2">
        <v>9</v>
      </c>
    </row>
    <row r="6" spans="2:13" x14ac:dyDescent="0.4">
      <c r="B6" s="4" t="s">
        <v>10</v>
      </c>
      <c r="C6" s="8">
        <v>1.1000000000000001</v>
      </c>
      <c r="D6" s="5">
        <v>5.0000000000000001E-3</v>
      </c>
      <c r="E6" s="6" t="s">
        <v>7</v>
      </c>
      <c r="F6" s="2" t="s">
        <v>8</v>
      </c>
      <c r="G6" s="2">
        <v>7</v>
      </c>
      <c r="H6" s="2" t="s">
        <v>79</v>
      </c>
      <c r="I6" s="2">
        <v>-2</v>
      </c>
      <c r="J6" s="73">
        <v>300000</v>
      </c>
      <c r="L6" s="2">
        <v>3</v>
      </c>
      <c r="M6" s="2">
        <v>8</v>
      </c>
    </row>
    <row r="7" spans="2:13" x14ac:dyDescent="0.4">
      <c r="B7" s="4" t="s">
        <v>11</v>
      </c>
      <c r="C7" s="8">
        <v>1.1000000000000001</v>
      </c>
      <c r="D7" s="5">
        <v>5.0000000000000001E-3</v>
      </c>
      <c r="E7" s="6" t="s">
        <v>7</v>
      </c>
      <c r="F7" s="2" t="s">
        <v>8</v>
      </c>
      <c r="G7" s="2">
        <v>7</v>
      </c>
      <c r="H7" s="2" t="s">
        <v>78</v>
      </c>
      <c r="I7" s="2">
        <v>-3</v>
      </c>
      <c r="J7" s="73">
        <v>300000</v>
      </c>
      <c r="L7" s="2">
        <v>4</v>
      </c>
      <c r="M7" s="2">
        <v>11</v>
      </c>
    </row>
    <row r="8" spans="2:13" ht="37.5" x14ac:dyDescent="0.4">
      <c r="B8" s="4" t="s">
        <v>22</v>
      </c>
      <c r="C8" s="8">
        <v>1.6</v>
      </c>
      <c r="D8" s="5">
        <v>1.6E-2</v>
      </c>
      <c r="E8" s="70" t="s">
        <v>97</v>
      </c>
      <c r="F8" s="2" t="s">
        <v>8</v>
      </c>
      <c r="G8" s="2">
        <v>3</v>
      </c>
      <c r="H8" s="2" t="s">
        <v>79</v>
      </c>
      <c r="I8" s="2">
        <v>-2</v>
      </c>
      <c r="J8" s="73">
        <v>600000</v>
      </c>
      <c r="L8" s="2">
        <v>5</v>
      </c>
      <c r="M8" s="2">
        <v>10</v>
      </c>
    </row>
    <row r="9" spans="2:13" ht="37.5" x14ac:dyDescent="0.4">
      <c r="B9" s="4" t="s">
        <v>54</v>
      </c>
      <c r="C9" s="8">
        <v>1.6</v>
      </c>
      <c r="D9" s="5">
        <v>1.35E-2</v>
      </c>
      <c r="E9" s="70" t="s">
        <v>98</v>
      </c>
      <c r="F9" s="2" t="s">
        <v>15</v>
      </c>
      <c r="G9" s="2">
        <v>3</v>
      </c>
      <c r="H9" s="2" t="s">
        <v>79</v>
      </c>
      <c r="I9" s="2">
        <v>-2</v>
      </c>
      <c r="J9" s="73">
        <v>600000</v>
      </c>
      <c r="L9" s="2">
        <v>6</v>
      </c>
      <c r="M9" s="2">
        <v>9</v>
      </c>
    </row>
    <row r="10" spans="2:13" x14ac:dyDescent="0.4">
      <c r="B10" s="4" t="s">
        <v>13</v>
      </c>
      <c r="C10" s="8">
        <v>1.6</v>
      </c>
      <c r="D10" s="5">
        <v>0.01</v>
      </c>
      <c r="E10" s="6" t="s">
        <v>7</v>
      </c>
      <c r="F10" s="2" t="s">
        <v>8</v>
      </c>
      <c r="G10" s="2">
        <v>7</v>
      </c>
      <c r="H10" s="2" t="s">
        <v>78</v>
      </c>
      <c r="I10" s="2">
        <v>-3</v>
      </c>
      <c r="J10" s="73">
        <v>600000</v>
      </c>
      <c r="L10" s="2">
        <v>7</v>
      </c>
      <c r="M10" s="2">
        <v>8</v>
      </c>
    </row>
    <row r="11" spans="2:13" x14ac:dyDescent="0.4">
      <c r="B11" s="4" t="s">
        <v>14</v>
      </c>
      <c r="C11" s="8">
        <v>1.6</v>
      </c>
      <c r="D11" s="5">
        <v>0.01</v>
      </c>
      <c r="E11" s="6" t="s">
        <v>7</v>
      </c>
      <c r="F11" s="2" t="s">
        <v>15</v>
      </c>
      <c r="G11" s="2">
        <v>7</v>
      </c>
      <c r="H11" s="2" t="s">
        <v>79</v>
      </c>
      <c r="I11" s="2">
        <v>-2</v>
      </c>
      <c r="J11" s="73">
        <v>600000</v>
      </c>
      <c r="L11" s="2">
        <v>8</v>
      </c>
      <c r="M11" s="2">
        <v>11</v>
      </c>
    </row>
    <row r="12" spans="2:13" x14ac:dyDescent="0.4">
      <c r="B12" s="4" t="s">
        <v>16</v>
      </c>
      <c r="C12" s="8">
        <v>1.6</v>
      </c>
      <c r="D12" s="5">
        <v>0.01</v>
      </c>
      <c r="E12" s="6" t="s">
        <v>7</v>
      </c>
      <c r="F12" s="2" t="s">
        <v>15</v>
      </c>
      <c r="G12" s="2">
        <v>7</v>
      </c>
      <c r="H12" s="2" t="s">
        <v>78</v>
      </c>
      <c r="I12" s="2">
        <v>-3</v>
      </c>
      <c r="J12" s="73">
        <v>600000</v>
      </c>
      <c r="L12" s="2">
        <v>9</v>
      </c>
      <c r="M12" s="2">
        <v>10</v>
      </c>
    </row>
    <row r="13" spans="2:13" x14ac:dyDescent="0.4">
      <c r="B13" s="4" t="s">
        <v>12</v>
      </c>
      <c r="C13" s="8">
        <v>1.1000000000000001</v>
      </c>
      <c r="D13" s="5">
        <v>8.5000000000000006E-3</v>
      </c>
      <c r="E13" s="6" t="s">
        <v>7</v>
      </c>
      <c r="F13" s="2" t="s">
        <v>8</v>
      </c>
      <c r="G13" s="2">
        <v>7</v>
      </c>
      <c r="H13" s="2" t="s">
        <v>80</v>
      </c>
      <c r="I13" s="2">
        <v>0</v>
      </c>
      <c r="J13" s="73">
        <v>300000</v>
      </c>
      <c r="L13" s="2">
        <v>10</v>
      </c>
      <c r="M13" s="2">
        <v>9</v>
      </c>
    </row>
    <row r="14" spans="2:13" ht="37.5" x14ac:dyDescent="0.4">
      <c r="B14" s="4" t="s">
        <v>21</v>
      </c>
      <c r="C14" s="8">
        <v>1.6</v>
      </c>
      <c r="D14" s="5">
        <v>1.35E-2</v>
      </c>
      <c r="E14" s="70" t="s">
        <v>99</v>
      </c>
      <c r="F14" s="2" t="s">
        <v>15</v>
      </c>
      <c r="G14" s="2">
        <v>4</v>
      </c>
      <c r="H14" s="2" t="s">
        <v>79</v>
      </c>
      <c r="I14" s="2">
        <v>-2</v>
      </c>
      <c r="J14" s="73">
        <v>450000</v>
      </c>
      <c r="L14" s="2">
        <v>11</v>
      </c>
      <c r="M14" s="2">
        <v>8</v>
      </c>
    </row>
    <row r="15" spans="2:13" ht="37.5" x14ac:dyDescent="0.4">
      <c r="B15" s="4" t="s">
        <v>23</v>
      </c>
      <c r="C15" s="8">
        <v>1.6</v>
      </c>
      <c r="D15" s="5">
        <v>1.6E-2</v>
      </c>
      <c r="E15" s="70" t="s">
        <v>98</v>
      </c>
      <c r="F15" s="2" t="s">
        <v>15</v>
      </c>
      <c r="G15" s="2">
        <v>3</v>
      </c>
      <c r="H15" s="2" t="s">
        <v>79</v>
      </c>
      <c r="I15" s="2">
        <v>-2</v>
      </c>
      <c r="J15" s="73">
        <v>600000</v>
      </c>
      <c r="L15" s="2">
        <v>12</v>
      </c>
      <c r="M15" s="2">
        <v>11</v>
      </c>
    </row>
    <row r="16" spans="2:13" ht="37.5" x14ac:dyDescent="0.4">
      <c r="B16" s="4" t="s">
        <v>24</v>
      </c>
      <c r="C16" s="8">
        <v>1.6</v>
      </c>
      <c r="D16" s="5">
        <v>1.4999999999999999E-2</v>
      </c>
      <c r="E16" s="70" t="s">
        <v>98</v>
      </c>
      <c r="F16" s="2" t="s">
        <v>8</v>
      </c>
      <c r="G16" s="2">
        <v>3</v>
      </c>
      <c r="H16" s="2" t="s">
        <v>79</v>
      </c>
      <c r="I16" s="2">
        <v>-2</v>
      </c>
      <c r="J16" s="73">
        <v>600000</v>
      </c>
    </row>
    <row r="17" spans="2:10" x14ac:dyDescent="0.4">
      <c r="B17" s="4" t="s">
        <v>17</v>
      </c>
      <c r="C17" s="8">
        <v>1.6</v>
      </c>
      <c r="D17" s="5">
        <v>0.01</v>
      </c>
      <c r="E17" s="6" t="s">
        <v>7</v>
      </c>
      <c r="F17" s="2" t="s">
        <v>15</v>
      </c>
      <c r="G17" s="2">
        <v>7</v>
      </c>
      <c r="H17" s="2" t="s">
        <v>78</v>
      </c>
      <c r="I17" s="2">
        <v>-3</v>
      </c>
      <c r="J17" s="73">
        <v>600000</v>
      </c>
    </row>
    <row r="18" spans="2:10" x14ac:dyDescent="0.4">
      <c r="B18" s="4" t="s">
        <v>18</v>
      </c>
      <c r="C18" s="8">
        <v>1.6</v>
      </c>
      <c r="D18" s="5">
        <v>0.01</v>
      </c>
      <c r="E18" s="6" t="s">
        <v>7</v>
      </c>
      <c r="F18" s="2" t="s">
        <v>15</v>
      </c>
      <c r="G18" s="2">
        <v>7</v>
      </c>
      <c r="H18" s="2" t="s">
        <v>79</v>
      </c>
      <c r="I18" s="2">
        <v>-2</v>
      </c>
      <c r="J18" s="73">
        <v>600000</v>
      </c>
    </row>
    <row r="19" spans="2:10" x14ac:dyDescent="0.4">
      <c r="B19" s="4" t="s">
        <v>19</v>
      </c>
      <c r="C19" s="8">
        <v>1.6</v>
      </c>
      <c r="D19" s="5">
        <v>0.01</v>
      </c>
      <c r="E19" s="6" t="s">
        <v>7</v>
      </c>
      <c r="F19" s="2" t="s">
        <v>8</v>
      </c>
      <c r="G19" s="2">
        <v>7</v>
      </c>
      <c r="H19" s="2" t="s">
        <v>78</v>
      </c>
      <c r="I19" s="2">
        <v>-3</v>
      </c>
      <c r="J19" s="73">
        <v>350000</v>
      </c>
    </row>
    <row r="20" spans="2:10" x14ac:dyDescent="0.4">
      <c r="B20" s="4" t="s">
        <v>20</v>
      </c>
      <c r="C20" s="8">
        <v>1.6</v>
      </c>
      <c r="D20" s="5">
        <v>0.01</v>
      </c>
      <c r="E20" s="6" t="s">
        <v>7</v>
      </c>
      <c r="F20" s="2" t="s">
        <v>15</v>
      </c>
      <c r="G20" s="2">
        <v>7</v>
      </c>
      <c r="H20" s="2" t="s">
        <v>79</v>
      </c>
      <c r="I20" s="2">
        <v>-2</v>
      </c>
      <c r="J20" s="73">
        <v>600000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シミュレーション</vt:lpstr>
      <vt:lpstr>計算表</vt:lpstr>
      <vt:lpstr>市町データ等</vt:lpstr>
      <vt:lpstr>シミュレーション!Print_Area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otomo</dc:creator>
  <cp:lastModifiedBy>俊弥 大友</cp:lastModifiedBy>
  <cp:lastPrinted>2024-11-27T02:38:38Z</cp:lastPrinted>
  <dcterms:created xsi:type="dcterms:W3CDTF">2022-07-27T01:06:42Z</dcterms:created>
  <dcterms:modified xsi:type="dcterms:W3CDTF">2025-04-01T01:03:05Z</dcterms:modified>
</cp:coreProperties>
</file>